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Korisnik\OneDrive\Radna površina\Izvršenje\"/>
    </mc:Choice>
  </mc:AlternateContent>
  <xr:revisionPtr revIDLastSave="0" documentId="13_ncr:1_{C3AA0E2D-3011-4E58-85DE-C0C07A40B4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9" l="1"/>
  <c r="L12" i="9"/>
  <c r="K25" i="1"/>
  <c r="K24" i="1"/>
  <c r="G10" i="1"/>
  <c r="K10" i="1" s="1"/>
  <c r="G39" i="3"/>
  <c r="L22" i="1"/>
  <c r="K22" i="1"/>
  <c r="H23" i="1"/>
  <c r="I23" i="1"/>
  <c r="J23" i="1"/>
  <c r="L23" i="1" s="1"/>
  <c r="G23" i="1"/>
  <c r="L15" i="1"/>
  <c r="L14" i="1"/>
  <c r="L13" i="1"/>
  <c r="K15" i="1"/>
  <c r="K14" i="1"/>
  <c r="L11" i="1"/>
  <c r="K11" i="1"/>
  <c r="J13" i="1"/>
  <c r="J10" i="1"/>
  <c r="J16" i="1" s="1"/>
  <c r="L16" i="1" s="1"/>
  <c r="H16" i="1"/>
  <c r="I13" i="1"/>
  <c r="I10" i="1"/>
  <c r="I16" i="1" s="1"/>
  <c r="G13" i="1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80" i="3"/>
  <c r="L85" i="3"/>
  <c r="L86" i="3"/>
  <c r="L87" i="3"/>
  <c r="L88" i="3"/>
  <c r="L90" i="3"/>
  <c r="L91" i="3"/>
  <c r="L92" i="3"/>
  <c r="L95" i="3"/>
  <c r="L96" i="3"/>
  <c r="L97" i="3"/>
  <c r="K48" i="3"/>
  <c r="K49" i="3"/>
  <c r="K70" i="3"/>
  <c r="K77" i="3"/>
  <c r="K86" i="3"/>
  <c r="K92" i="3"/>
  <c r="J39" i="3"/>
  <c r="I39" i="3"/>
  <c r="G91" i="3"/>
  <c r="K91" i="3" s="1"/>
  <c r="G90" i="3"/>
  <c r="K90" i="3" s="1"/>
  <c r="G89" i="3"/>
  <c r="K89" i="3" s="1"/>
  <c r="G87" i="3"/>
  <c r="K87" i="3" s="1"/>
  <c r="G85" i="3"/>
  <c r="K85" i="3" s="1"/>
  <c r="G80" i="3"/>
  <c r="K80" i="3" s="1"/>
  <c r="G78" i="3"/>
  <c r="K78" i="3" s="1"/>
  <c r="G76" i="3"/>
  <c r="K76" i="3" s="1"/>
  <c r="G75" i="3"/>
  <c r="K75" i="3" s="1"/>
  <c r="G74" i="3"/>
  <c r="K74" i="3" s="1"/>
  <c r="G73" i="3"/>
  <c r="K73" i="3" s="1"/>
  <c r="G72" i="3"/>
  <c r="K72" i="3" s="1"/>
  <c r="G71" i="3"/>
  <c r="K71" i="3" s="1"/>
  <c r="G69" i="3"/>
  <c r="K69" i="3" s="1"/>
  <c r="G68" i="3"/>
  <c r="K68" i="3" s="1"/>
  <c r="G67" i="3"/>
  <c r="K67" i="3" s="1"/>
  <c r="G66" i="3"/>
  <c r="K66" i="3" s="1"/>
  <c r="G65" i="3"/>
  <c r="K65" i="3" s="1"/>
  <c r="G64" i="3"/>
  <c r="K64" i="3" s="1"/>
  <c r="G63" i="3"/>
  <c r="K63" i="3" s="1"/>
  <c r="G61" i="3"/>
  <c r="K61" i="3" s="1"/>
  <c r="G60" i="3"/>
  <c r="K60" i="3" s="1"/>
  <c r="G59" i="3"/>
  <c r="K59" i="3" s="1"/>
  <c r="G58" i="3"/>
  <c r="K58" i="3" s="1"/>
  <c r="G57" i="3"/>
  <c r="K57" i="3" s="1"/>
  <c r="G56" i="3"/>
  <c r="K56" i="3" s="1"/>
  <c r="G55" i="3"/>
  <c r="K55" i="3" s="1"/>
  <c r="G54" i="3"/>
  <c r="K54" i="3" s="1"/>
  <c r="G53" i="3"/>
  <c r="K53" i="3" s="1"/>
  <c r="K52" i="3"/>
  <c r="G51" i="3"/>
  <c r="K51" i="3" s="1"/>
  <c r="K50" i="3"/>
  <c r="G47" i="3"/>
  <c r="K47" i="3" s="1"/>
  <c r="G46" i="3"/>
  <c r="K46" i="3" s="1"/>
  <c r="G45" i="3"/>
  <c r="K45" i="3" s="1"/>
  <c r="K44" i="3"/>
  <c r="K43" i="3"/>
  <c r="K42" i="3"/>
  <c r="K41" i="3"/>
  <c r="K40" i="3"/>
  <c r="L13" i="3"/>
  <c r="L14" i="3"/>
  <c r="L17" i="3"/>
  <c r="L18" i="3"/>
  <c r="L21" i="3"/>
  <c r="L22" i="3"/>
  <c r="L23" i="3"/>
  <c r="L24" i="3"/>
  <c r="L26" i="3"/>
  <c r="L28" i="3"/>
  <c r="L29" i="3"/>
  <c r="L30" i="3"/>
  <c r="L10" i="3"/>
  <c r="K13" i="3"/>
  <c r="K17" i="3"/>
  <c r="K26" i="3"/>
  <c r="K31" i="3"/>
  <c r="K10" i="3"/>
  <c r="J27" i="3"/>
  <c r="L27" i="3" s="1"/>
  <c r="J12" i="3"/>
  <c r="L12" i="3" s="1"/>
  <c r="J20" i="3"/>
  <c r="I20" i="3"/>
  <c r="G11" i="3"/>
  <c r="G32" i="3"/>
  <c r="K32" i="3" s="1"/>
  <c r="G30" i="3"/>
  <c r="K30" i="3" s="1"/>
  <c r="G29" i="3"/>
  <c r="K29" i="3" s="1"/>
  <c r="G28" i="3"/>
  <c r="K28" i="3" s="1"/>
  <c r="G22" i="3"/>
  <c r="K22" i="3" s="1"/>
  <c r="G21" i="3"/>
  <c r="K21" i="3" s="1"/>
  <c r="G18" i="3"/>
  <c r="K18" i="3" s="1"/>
  <c r="G14" i="3"/>
  <c r="K14" i="3" s="1"/>
  <c r="H23" i="8"/>
  <c r="H24" i="8"/>
  <c r="H25" i="8"/>
  <c r="H26" i="8"/>
  <c r="H27" i="8"/>
  <c r="H28" i="8"/>
  <c r="H30" i="8"/>
  <c r="H31" i="8"/>
  <c r="H32" i="8"/>
  <c r="H33" i="8"/>
  <c r="H37" i="8"/>
  <c r="H38" i="8"/>
  <c r="H22" i="8"/>
  <c r="G23" i="8"/>
  <c r="G26" i="8"/>
  <c r="F29" i="8"/>
  <c r="G22" i="8"/>
  <c r="E29" i="8"/>
  <c r="H7" i="8"/>
  <c r="H8" i="8"/>
  <c r="H9" i="8"/>
  <c r="H10" i="8"/>
  <c r="H11" i="8"/>
  <c r="H12" i="8"/>
  <c r="H14" i="8"/>
  <c r="H15" i="8"/>
  <c r="H16" i="8"/>
  <c r="H17" i="8"/>
  <c r="H18" i="8"/>
  <c r="H19" i="8"/>
  <c r="H6" i="8"/>
  <c r="G7" i="8"/>
  <c r="G9" i="8"/>
  <c r="G11" i="8"/>
  <c r="F13" i="8"/>
  <c r="C6" i="8"/>
  <c r="G6" i="8" s="1"/>
  <c r="C16" i="8"/>
  <c r="G16" i="8" s="1"/>
  <c r="C14" i="8"/>
  <c r="G14" i="8" s="1"/>
  <c r="C12" i="8"/>
  <c r="G12" i="8" s="1"/>
  <c r="C10" i="8"/>
  <c r="G10" i="8" s="1"/>
  <c r="E13" i="8"/>
  <c r="C8" i="8"/>
  <c r="G8" i="8" s="1"/>
  <c r="C40" i="8"/>
  <c r="C32" i="8"/>
  <c r="C31" i="8"/>
  <c r="C30" i="8"/>
  <c r="G30" i="8" s="1"/>
  <c r="G25" i="8"/>
  <c r="G24" i="8"/>
  <c r="C15" i="8"/>
  <c r="H7" i="11"/>
  <c r="H8" i="11"/>
  <c r="H6" i="11"/>
  <c r="G7" i="11"/>
  <c r="G8" i="11"/>
  <c r="G6" i="11"/>
  <c r="L10" i="9"/>
  <c r="L9" i="9"/>
  <c r="K10" i="9"/>
  <c r="K11" i="9"/>
  <c r="K12" i="9"/>
  <c r="K9" i="9"/>
  <c r="L8" i="9"/>
  <c r="L7" i="9"/>
  <c r="H10" i="10"/>
  <c r="H11" i="10"/>
  <c r="H9" i="10"/>
  <c r="G10" i="10"/>
  <c r="G11" i="10"/>
  <c r="G9" i="10"/>
  <c r="C11" i="10"/>
  <c r="I9" i="7"/>
  <c r="I10" i="7"/>
  <c r="I16" i="7"/>
  <c r="I12" i="7"/>
  <c r="I11" i="7"/>
  <c r="I13" i="7"/>
  <c r="I14" i="7"/>
  <c r="I15" i="7"/>
  <c r="I17" i="7"/>
  <c r="I18" i="7"/>
  <c r="I19" i="7"/>
  <c r="I20" i="7"/>
  <c r="I25" i="7"/>
  <c r="I44" i="7"/>
  <c r="I47" i="7"/>
  <c r="I49" i="7"/>
  <c r="I51" i="7"/>
  <c r="I52" i="7"/>
  <c r="I53" i="7"/>
  <c r="I54" i="7"/>
  <c r="I62" i="7"/>
  <c r="I66" i="7"/>
  <c r="I67" i="7"/>
  <c r="I69" i="7"/>
  <c r="I70" i="7"/>
  <c r="I71" i="7"/>
  <c r="I73" i="7"/>
  <c r="I74" i="7"/>
  <c r="I75" i="7"/>
  <c r="I81" i="7"/>
  <c r="I82" i="7"/>
  <c r="I91" i="7"/>
  <c r="I92" i="7"/>
  <c r="I95" i="7"/>
  <c r="I96" i="7"/>
  <c r="I108" i="7"/>
  <c r="I109" i="7"/>
  <c r="I110" i="7"/>
  <c r="I114" i="7"/>
  <c r="I115" i="7"/>
  <c r="I121" i="7"/>
  <c r="I122" i="7"/>
  <c r="I128" i="7"/>
  <c r="I129" i="7"/>
  <c r="I135" i="7"/>
  <c r="I136" i="7"/>
  <c r="I137" i="7"/>
  <c r="I140" i="7"/>
  <c r="I141" i="7"/>
  <c r="I143" i="7"/>
  <c r="I144" i="7"/>
  <c r="I145" i="7"/>
  <c r="I147" i="7"/>
  <c r="I148" i="7"/>
  <c r="I8" i="7"/>
  <c r="H29" i="8" l="1"/>
  <c r="K23" i="1"/>
  <c r="L10" i="1"/>
  <c r="G16" i="1"/>
  <c r="K16" i="1" s="1"/>
  <c r="K13" i="1"/>
  <c r="L39" i="3"/>
  <c r="K39" i="3"/>
  <c r="J19" i="3"/>
  <c r="K12" i="3"/>
  <c r="L20" i="3"/>
  <c r="K20" i="3"/>
  <c r="G27" i="3"/>
  <c r="K27" i="3" s="1"/>
  <c r="C13" i="8"/>
  <c r="G13" i="8" s="1"/>
  <c r="H13" i="8"/>
  <c r="C29" i="8"/>
  <c r="G29" i="8" s="1"/>
  <c r="L19" i="3" l="1"/>
  <c r="K19" i="3"/>
  <c r="J11" i="3"/>
  <c r="L11" i="3" l="1"/>
  <c r="K11" i="3"/>
</calcChain>
</file>

<file path=xl/sharedStrings.xml><?xml version="1.0" encoding="utf-8"?>
<sst xmlns="http://schemas.openxmlformats.org/spreadsheetml/2006/main" count="378" uniqueCount="201">
  <si>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</si>
  <si>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</si>
  <si>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</si>
  <si>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</si>
  <si>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</si>
  <si>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</si>
  <si>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</si>
  <si>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</si>
  <si>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</si>
  <si>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</si>
  <si>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</si>
  <si>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</si>
  <si>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</si>
  <si>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</si>
  <si>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</si>
  <si>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</si>
  <si>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</si>
  <si>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</si>
  <si>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</si>
  <si>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</si>
  <si>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</si>
  <si>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</si>
  <si>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</si>
  <si>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</si>
  <si>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</si>
  <si>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</si>
  <si>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</si>
  <si>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</si>
  <si>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</si>
  <si>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</si>
  <si>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</si>
  <si>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</si>
  <si>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</si>
  <si>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</si>
  <si>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</si>
  <si>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</si>
  <si>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</si>
  <si>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</si>
  <si>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</si>
  <si>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</si>
  <si>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</si>
  <si>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Napomena:  Iznosi u stupcu "OSTVARENJE/IZVRŠENJE 1.-6. 2022." preračunavaju se iz kuna u eure prema fiksnom tečaju konverzije (1 EUR=7,53450 kuna) i po pravilima za preračunavanje i zaokruživanje.</t>
  </si>
  <si>
    <t>TEKUĆI PLAN 2023.*</t>
  </si>
  <si>
    <t>INDEKS**</t>
  </si>
  <si>
    <t>TEKUĆI PLAN 2023.**</t>
  </si>
  <si>
    <t>IZVORNI PLAN ILI REBALANS 2023.*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</si>
  <si>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</si>
  <si>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</si>
  <si>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</si>
  <si>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</si>
  <si>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</si>
  <si>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</si>
  <si>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</si>
  <si>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</si>
  <si>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</si>
  <si>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 xml:space="preserve">OSTVARENJE/IZVRŠENJE 
1.-6.2022. </t>
  </si>
  <si>
    <t xml:space="preserve">OSTVARENJE/IZVRŠENJE 
1.-6.2023. 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</si>
  <si>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</si>
  <si>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</si>
  <si>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</si>
  <si>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</si>
  <si>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</si>
  <si>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</si>
  <si>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 xml:space="preserve"> RAČUN FINANCIRANJA</t>
  </si>
  <si>
    <t xml:space="preserve">IZVRŠENJE 
1.-6.2022. </t>
  </si>
  <si>
    <t xml:space="preserve">IZVRŠENJE 
1.-6.2023. </t>
  </si>
  <si>
    <t>IZVJEŠTAJ PO PROGRAMSKOJ KLASIFIKACIJI</t>
  </si>
  <si>
    <t xml:space="preserve"> IZVRŠENJE 
1.-6.2023. </t>
  </si>
  <si>
    <t>SAŽETAK  RAČUNA PRIHODA I RASHODA I  RAČUNA FINANCIRANJA  može sadržavati i dodatne podatke.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</si>
  <si>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</si>
  <si>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MUZEJ GRADA ŠIBENIKA</t>
  </si>
  <si>
    <t>OPĆI PRIHODI I PRIMICI</t>
  </si>
  <si>
    <t>MUZEJSKA DJELATNOST</t>
  </si>
  <si>
    <t>REDOVNA DJELATNOST MUZEJA</t>
  </si>
  <si>
    <t>RASHODI ZA ZAPOSLENE</t>
  </si>
  <si>
    <t>PLAĆE ZA REDOVAN RAD</t>
  </si>
  <si>
    <t>DONACIJE</t>
  </si>
  <si>
    <t>PRIHODI ZA POSEBNE NAMJENE</t>
  </si>
  <si>
    <t>VLASTITI PRIHODI</t>
  </si>
  <si>
    <t>OSTALE POMOĆI</t>
  </si>
  <si>
    <t>POMOĆI IZ DRŽAVNOG PRORAČUNA</t>
  </si>
  <si>
    <t>PLAĆE ZA PREKOVREMENI RAD</t>
  </si>
  <si>
    <t>OSTALI RASHODI ZA ZAPOSLENE</t>
  </si>
  <si>
    <t>DOPRINOSI ZA OBVEZNO ZDRAVSTVENO OSIGURANJE</t>
  </si>
  <si>
    <t>MATERIJALNI RASHODI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</si>
  <si>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</si>
  <si>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</si>
  <si>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</si>
  <si>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</si>
  <si>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</si>
  <si>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</si>
  <si>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</si>
  <si>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</si>
  <si>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</si>
  <si>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</si>
  <si>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</si>
  <si>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</si>
  <si>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</si>
  <si>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</si>
  <si>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</si>
  <si>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</si>
  <si>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</si>
  <si>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PRISTOJBE I NAKNADE</t>
  </si>
  <si>
    <t>FINANCIJSKI RASHODI</t>
  </si>
  <si>
    <t>KAMATE ZA PRIMLJENE KREDITE I ZAJMOVE OD KREDITNIH I OSTALIH FINANCIJSKIH INSTITUCIJA IZVAN JAVNOG SEKTORA</t>
  </si>
  <si>
    <t>ZATEZNE KAMATE</t>
  </si>
  <si>
    <t>RASHODI ZA NABAVU PROIZVEDENE DUGOTRAJNE IMOVINE</t>
  </si>
  <si>
    <t>UREDSKA OPREMA I NAMJEŠTAJ</t>
  </si>
  <si>
    <t>IZDACI ZA OTPLATU GLAVNICE PRIMLJENIH KREDITA I ZAJMOVA</t>
  </si>
  <si>
    <t>OTPLATA GLAVNICE PRIMLJENIH ZAJMOVA OD OSTALIH TUZEMNIH FINANCIJSKIH INSTITUCIJA IZVAN JAVNOG SEKTORA</t>
  </si>
  <si>
    <t>ZAŠTITA KULTURNO POVIJESNE BAŠTINE</t>
  </si>
  <si>
    <t>UREĐAJI, STROJEVI I OPREMA ZA OSTALE NAMJENE</t>
  </si>
  <si>
    <t>MUZEJSKI IZLOŠCI I PREDMETI PRIRODNOH RIJETKOSTI</t>
  </si>
  <si>
    <t>STALNI POSTAV MUZEJA</t>
  </si>
  <si>
    <t>RASHODI ZA DODATNA ULAGANJA NA NEFINANCIJSKOJ IMOVINI</t>
  </si>
  <si>
    <t>DODATNA ULAGANJA NA POSTROJENJIMA I OPREMI</t>
  </si>
  <si>
    <t>MUZEJSKO-GALERIJSKA DJELATNOST</t>
  </si>
  <si>
    <t>NAKNADE TROŠKOVA OSOBAMA IZVAN RADNOG ODNOSA</t>
  </si>
  <si>
    <t>USLUGE PROMIDŽBE I INFORMIRANJA</t>
  </si>
  <si>
    <t>ARHEOLOŠKI LOKALITETI</t>
  </si>
  <si>
    <t>POMOĆI IZ ŽUPANIJSKOG PRORAČUNA</t>
  </si>
  <si>
    <t>MUZEJSKO IZDAVAŠTVO</t>
  </si>
  <si>
    <t>EDUKACIJA U EUROPSKIM MUZEJIMA - ERASMUS+</t>
  </si>
  <si>
    <t>SREDSTVA EUROPSKE UNIJE</t>
  </si>
  <si>
    <t>Otplata glavnice primljenih kredita i zajmova od kreditnih i ostalih financijskih institucija izvan javnog sektora</t>
  </si>
  <si>
    <t>Otplata glavnice primljenih zajmova od ostalih tuzemnih financijskih institucija izvan javnog sektora</t>
  </si>
  <si>
    <t>08 Rekreacija, kultura i religija</t>
  </si>
  <si>
    <t>082 Službe kulture</t>
  </si>
  <si>
    <t>51 Pomoći iz državnog proračuna</t>
  </si>
  <si>
    <t>5 Pomoći</t>
  </si>
  <si>
    <t>52 Pomoći iz županijskog proračuna</t>
  </si>
  <si>
    <t>53 Ostale pomoći</t>
  </si>
  <si>
    <t>56 Sredstva Europske unije</t>
  </si>
  <si>
    <t>6 Donacije</t>
  </si>
  <si>
    <t>61 Donacije</t>
  </si>
  <si>
    <t>7 Prihodi od prodaje ili zamjene nefinancijske imovine i naknade s naslova osiguranja</t>
  </si>
  <si>
    <t>71 Prihodi od prodaje ili zamjene nefinancijske imovine s naslova osiguranja</t>
  </si>
  <si>
    <t>4 Prihodi za posebne namjene</t>
  </si>
  <si>
    <t>44 Prihodi za posebne namjene</t>
  </si>
  <si>
    <t>Tekuće pomoći proračunskim korisnicima iz proračuna koji im nije nadležan</t>
  </si>
  <si>
    <t>Prihodi od upravnih i administrativnih pristojbi, pristojbi po posebnim propisima i naknada</t>
  </si>
  <si>
    <t>Ostali nespomenuti prihodi po posebnim propisima</t>
  </si>
  <si>
    <t>Prihodi od pruženih usluga</t>
  </si>
  <si>
    <t>Prihodi iz nadležnog proračuna i od HZZO-a temeljem ugovornih obveza</t>
  </si>
  <si>
    <t xml:space="preserve"> 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</si>
  <si>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</si>
  <si>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</si>
  <si>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</si>
  <si>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</si>
  <si>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Kazne, upravne mjere i ostali prihodi</t>
  </si>
  <si>
    <t>Ostali prihodi</t>
  </si>
  <si>
    <t>Donacije od pravnih i fizičkih osoba izvan općeg proračuna i povrat donacija po protestiranim jamstvima</t>
  </si>
  <si>
    <t>Tekuće donacije</t>
  </si>
  <si>
    <t>Pomoći temeljem prijenosa EU sredstava</t>
  </si>
  <si>
    <t>Tekuće pomoći iz državnog proračuna temeljem prijenosa EU sredstava</t>
  </si>
  <si>
    <t>Pomoći proračunskim korisnicima iz proračuna koji im nije nadležan</t>
  </si>
  <si>
    <t>Kapitalne donacije</t>
  </si>
  <si>
    <t>Plaće za prekovremeni rad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</si>
  <si>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</si>
  <si>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</si>
  <si>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</si>
  <si>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</si>
  <si>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usavšavanje zaposlenika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</si>
  <si>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</si>
  <si>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</si>
  <si>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</si>
  <si>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</si>
  <si>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</si>
  <si>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</si>
  <si>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</si>
  <si>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</si>
  <si>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</si>
  <si>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</si>
  <si>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</si>
  <si>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</si>
  <si>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</si>
  <si>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</si>
  <si>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</si>
  <si>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</si>
  <si>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</si>
  <si>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</si>
  <si>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</si>
  <si>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Pristojbe i naknade</t>
  </si>
  <si>
    <t>Financijski rashodi</t>
  </si>
  <si>
    <t>Kamate za primljene kredite i zajmove</t>
  </si>
  <si>
    <t>Kamate za primljene kredite i zajmove od kreditnih i ostalih financijskih institucija izvan javnog sektora</t>
  </si>
  <si>
    <t>Ostali financijski rashodi</t>
  </si>
  <si>
    <t>Negativne tečajne razlike i razlike zbog primjene valutne klauzule</t>
  </si>
  <si>
    <t>Zatezne kamate</t>
  </si>
  <si>
    <t>Rashodi za nabavu proizvedene dugotrajne imovine</t>
  </si>
  <si>
    <t>Postrojenja i oprema</t>
  </si>
  <si>
    <t>Uredska oprema i namještaj</t>
  </si>
  <si>
    <t>Oprema za održavanje i zaštitu</t>
  </si>
  <si>
    <t>Uređaji, strojevi i oprema za ostale namjene</t>
  </si>
  <si>
    <t>Knjige, umjetnička djela i ostale izložbene vrijednosti</t>
  </si>
  <si>
    <t>Muzejski izlošci i predmeti prirodnih rijetkosti</t>
  </si>
  <si>
    <t>Nematerijalna proizvedena imovina</t>
  </si>
  <si>
    <t>Ulaganje u računalne programe</t>
  </si>
  <si>
    <t>Rashodi za dodatna ulaganja na nefinancijskoj imovini</t>
  </si>
  <si>
    <t xml:space="preserve">Dodatna ulaganja na postrojenjima i opremi </t>
  </si>
  <si>
    <t xml:space="preserve">IZVJEŠTAJ O IZVRŠENJU FINANCIJSKOG PLANA MUZEJA GRADA ŠIBENIKA ZA PRVO POLUGODIŠTE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</si>
</sst>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0" borderId="3" xfId="0" applyNumberFormat="1" applyFont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3" fontId="3" fillId="2" borderId="4" xfId="0" applyNumberFormat="1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2" fontId="6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0" fontId="16" fillId="2" borderId="3" xfId="0" applyFont="1" applyFill="1" applyBorder="1" applyAlignment="1">
      <alignment horizontal="left" vertical="center" indent="1"/>
    </xf>
    <xf numFmtId="0" fontId="16" fillId="2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wrapText="1"/>
    </xf>
    <xf numFmtId="4" fontId="1" fillId="0" borderId="3" xfId="0" applyNumberFormat="1" applyFont="1" applyBorder="1" applyAlignment="1">
      <alignment wrapText="1"/>
    </xf>
    <xf numFmtId="4" fontId="0" fillId="0" borderId="3" xfId="0" applyNumberFormat="1" applyBorder="1" applyAlignment="1">
      <alignment wrapText="1"/>
    </xf>
    <xf numFmtId="4" fontId="21" fillId="0" borderId="3" xfId="0" applyNumberFormat="1" applyFont="1" applyBorder="1"/>
    <xf numFmtId="4" fontId="22" fillId="0" borderId="3" xfId="0" applyNumberFormat="1" applyFont="1" applyBorder="1"/>
    <xf numFmtId="4" fontId="22" fillId="0" borderId="3" xfId="0" applyNumberFormat="1" applyFont="1" applyBorder="1" applyAlignment="1">
      <alignment wrapText="1"/>
    </xf>
    <xf numFmtId="4" fontId="21" fillId="0" borderId="3" xfId="0" applyNumberFormat="1" applyFont="1" applyBorder="1" applyAlignment="1">
      <alignment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4" fontId="0" fillId="0" borderId="0" xfId="0" applyNumberFormat="1"/>
    <xf numFmtId="0" fontId="9" fillId="2" borderId="0" xfId="0" quotePrefix="1" applyFont="1" applyFill="1" applyAlignment="1">
      <alignment horizontal="left" vertical="center"/>
    </xf>
    <xf numFmtId="0" fontId="9" fillId="2" borderId="0" xfId="0" quotePrefix="1" applyFont="1" applyFill="1" applyAlignment="1">
      <alignment horizontal="left" vertical="center" wrapText="1"/>
    </xf>
    <xf numFmtId="4" fontId="3" fillId="2" borderId="0" xfId="0" applyNumberFormat="1" applyFont="1" applyFill="1" applyAlignment="1">
      <alignment horizontal="right"/>
    </xf>
    <xf numFmtId="4" fontId="21" fillId="0" borderId="0" xfId="0" applyNumberFormat="1" applyFont="1"/>
    <xf numFmtId="0" fontId="9" fillId="0" borderId="6" xfId="0" quotePrefix="1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right" wrapText="1"/>
    </xf>
    <xf numFmtId="4" fontId="21" fillId="0" borderId="6" xfId="0" applyNumberFormat="1" applyFont="1" applyBorder="1"/>
    <xf numFmtId="4" fontId="0" fillId="0" borderId="6" xfId="0" applyNumberFormat="1" applyBorder="1"/>
    <xf numFmtId="0" fontId="9" fillId="0" borderId="5" xfId="0" quotePrefix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wrapText="1"/>
    </xf>
    <xf numFmtId="4" fontId="21" fillId="0" borderId="5" xfId="0" applyNumberFormat="1" applyFont="1" applyBorder="1"/>
    <xf numFmtId="4" fontId="0" fillId="0" borderId="5" xfId="0" applyNumberFormat="1" applyBorder="1"/>
    <xf numFmtId="0" fontId="10" fillId="0" borderId="6" xfId="0" applyFont="1" applyBorder="1" applyAlignment="1">
      <alignment horizontal="left" vertical="center" indent="1"/>
    </xf>
    <xf numFmtId="4" fontId="3" fillId="0" borderId="6" xfId="0" applyNumberFormat="1" applyFont="1" applyBorder="1" applyAlignment="1">
      <alignment horizontal="right"/>
    </xf>
    <xf numFmtId="0" fontId="10" fillId="0" borderId="0" xfId="0" applyFont="1" applyAlignment="1">
      <alignment horizontal="left" vertical="center" indent="1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wrapText="1"/>
    </xf>
    <xf numFmtId="0" fontId="10" fillId="0" borderId="5" xfId="0" applyFont="1" applyBorder="1" applyAlignment="1">
      <alignment horizontal="left" vertical="center" indent="1"/>
    </xf>
    <xf numFmtId="4" fontId="3" fillId="0" borderId="5" xfId="0" applyNumberFormat="1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8" fillId="0" borderId="5" xfId="0" applyFont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5"/>
  <sheetViews>
    <sheetView tabSelected="1" workbookViewId="0">
      <selection activeCell="B1" sqref="B1:L1"/>
    </sheetView>
  </sheetViews>
  <sheetFormatPr defaultRowHeight="15" x14ac:dyDescent="0.25"/>
  <cols>
    <col min="6" max="7" width="25.28515625" customWidth="1"/>
    <col min="8" max="8" width="25.28515625" hidden="1" customWidth="1"/>
    <col min="9" max="10" width="25.28515625" customWidth="1"/>
    <col min="11" max="12" width="15.7109375" customWidth="1"/>
  </cols>
  <sheetData>
    <row r="1" spans="2:12" ht="42" customHeight="1" x14ac:dyDescent="0.25">
      <c r="B1" s="112" t="s">
        <v>200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2:12" ht="18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 x14ac:dyDescent="0.25">
      <c r="B3" s="112" t="s">
        <v>11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2:12" ht="36" customHeight="1" x14ac:dyDescent="0.25">
      <c r="B4" s="98"/>
      <c r="C4" s="98"/>
      <c r="D4" s="98"/>
      <c r="E4" s="2"/>
      <c r="F4" s="2"/>
      <c r="G4" s="2"/>
      <c r="H4" s="2"/>
      <c r="I4" s="2"/>
      <c r="J4" s="3"/>
      <c r="K4" s="3"/>
    </row>
    <row r="5" spans="2:12" ht="18" customHeight="1" x14ac:dyDescent="0.25">
      <c r="B5" s="112" t="s">
        <v>53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2:12" ht="18" customHeight="1" x14ac:dyDescent="0.25">
      <c r="B6" s="32"/>
      <c r="C6" s="34"/>
      <c r="D6" s="34"/>
      <c r="E6" s="34"/>
      <c r="F6" s="34"/>
      <c r="G6" s="34"/>
      <c r="H6" s="34"/>
      <c r="I6" s="34"/>
      <c r="J6" s="34"/>
      <c r="K6" s="34"/>
    </row>
    <row r="7" spans="2:12" x14ac:dyDescent="0.25">
      <c r="B7" s="120" t="s">
        <v>54</v>
      </c>
      <c r="C7" s="120"/>
      <c r="D7" s="120"/>
      <c r="E7" s="120"/>
      <c r="F7" s="120"/>
      <c r="G7" s="4"/>
      <c r="H7" s="4"/>
      <c r="I7" s="4"/>
      <c r="J7" s="4"/>
      <c r="K7" s="17"/>
    </row>
    <row r="8" spans="2:12" ht="25.5" x14ac:dyDescent="0.25">
      <c r="B8" s="102" t="s">
        <v>6</v>
      </c>
      <c r="C8" s="103"/>
      <c r="D8" s="103"/>
      <c r="E8" s="103"/>
      <c r="F8" s="104"/>
      <c r="G8" s="22" t="s">
        <v>55</v>
      </c>
      <c r="H8" s="1" t="s">
        <v>45</v>
      </c>
      <c r="I8" s="1" t="s">
        <v>42</v>
      </c>
      <c r="J8" s="22" t="s">
        <v>56</v>
      </c>
      <c r="K8" s="1" t="s">
        <v>15</v>
      </c>
      <c r="L8" s="1" t="s">
        <v>43</v>
      </c>
    </row>
    <row r="9" spans="2:12" s="25" customFormat="1" ht="11.25" x14ac:dyDescent="0.2">
      <c r="B9" s="105">
        <v>1</v>
      </c>
      <c r="C9" s="105"/>
      <c r="D9" s="105"/>
      <c r="E9" s="105"/>
      <c r="F9" s="106"/>
      <c r="G9" s="24">
        <v>2</v>
      </c>
      <c r="H9" s="23">
        <v>3</v>
      </c>
      <c r="I9" s="23">
        <v>4</v>
      </c>
      <c r="J9" s="23">
        <v>5</v>
      </c>
      <c r="K9" s="23" t="s">
        <v>17</v>
      </c>
      <c r="L9" s="23" t="s">
        <v>18</v>
      </c>
    </row>
    <row r="10" spans="2:12" x14ac:dyDescent="0.25">
      <c r="B10" s="118" t="s">
        <v>0</v>
      </c>
      <c r="C10" s="97"/>
      <c r="D10" s="97"/>
      <c r="E10" s="97"/>
      <c r="F10" s="119"/>
      <c r="G10" s="71">
        <f>SUM(G11:G12)</f>
        <v>288150.3</v>
      </c>
      <c r="H10" s="71"/>
      <c r="I10" s="71">
        <f>SUM(I11:I12)</f>
        <v>693853</v>
      </c>
      <c r="J10" s="71">
        <f>SUM(J11:J12)</f>
        <v>323332.71999999997</v>
      </c>
      <c r="K10" s="71">
        <f>J10/G10*100</f>
        <v>112.20974609431258</v>
      </c>
      <c r="L10" s="71">
        <f>J10/I10*100</f>
        <v>46.599599627010328</v>
      </c>
    </row>
    <row r="11" spans="2:12" x14ac:dyDescent="0.25">
      <c r="B11" s="107" t="s">
        <v>46</v>
      </c>
      <c r="C11" s="108"/>
      <c r="D11" s="108"/>
      <c r="E11" s="108"/>
      <c r="F11" s="116"/>
      <c r="G11" s="72">
        <v>288150.3</v>
      </c>
      <c r="H11" s="72"/>
      <c r="I11" s="72">
        <v>693853</v>
      </c>
      <c r="J11" s="72">
        <v>323332.71999999997</v>
      </c>
      <c r="K11" s="72">
        <f>J11/I11*100</f>
        <v>46.599599627010328</v>
      </c>
      <c r="L11" s="72">
        <f>J11/I11*100</f>
        <v>46.599599627010328</v>
      </c>
    </row>
    <row r="12" spans="2:12" x14ac:dyDescent="0.25">
      <c r="B12" s="115" t="s">
        <v>51</v>
      </c>
      <c r="C12" s="116"/>
      <c r="D12" s="116"/>
      <c r="E12" s="116"/>
      <c r="F12" s="116"/>
      <c r="G12" s="72">
        <v>0</v>
      </c>
      <c r="H12" s="72"/>
      <c r="I12" s="72">
        <v>0</v>
      </c>
      <c r="J12" s="72">
        <v>0</v>
      </c>
      <c r="K12" s="72"/>
      <c r="L12" s="72"/>
    </row>
    <row r="13" spans="2:12" x14ac:dyDescent="0.25">
      <c r="B13" s="18" t="s">
        <v>1</v>
      </c>
      <c r="C13" s="33"/>
      <c r="D13" s="33"/>
      <c r="E13" s="33"/>
      <c r="F13" s="33"/>
      <c r="G13" s="71">
        <f>SUM(G14:G15)</f>
        <v>231541.37</v>
      </c>
      <c r="H13" s="71"/>
      <c r="I13" s="71">
        <f>SUM(I14:I15)</f>
        <v>693229</v>
      </c>
      <c r="J13" s="71">
        <f>SUM(J14:J15)</f>
        <v>286291.23000000004</v>
      </c>
      <c r="K13" s="71">
        <f>J13/G13*100</f>
        <v>123.64582191078857</v>
      </c>
      <c r="L13" s="71">
        <f>J13/I13*100</f>
        <v>41.298218914673221</v>
      </c>
    </row>
    <row r="14" spans="2:12" x14ac:dyDescent="0.25">
      <c r="B14" s="114" t="s">
        <v>47</v>
      </c>
      <c r="C14" s="108"/>
      <c r="D14" s="108"/>
      <c r="E14" s="108"/>
      <c r="F14" s="108"/>
      <c r="G14" s="72">
        <v>225293.18</v>
      </c>
      <c r="H14" s="72"/>
      <c r="I14" s="72">
        <v>615939</v>
      </c>
      <c r="J14" s="72">
        <v>280172.71000000002</v>
      </c>
      <c r="K14" s="73">
        <f>J14/G14*100</f>
        <v>124.35916169322125</v>
      </c>
      <c r="L14" s="73">
        <f>J14/I14*100</f>
        <v>45.487087195322914</v>
      </c>
    </row>
    <row r="15" spans="2:12" x14ac:dyDescent="0.25">
      <c r="B15" s="115" t="s">
        <v>48</v>
      </c>
      <c r="C15" s="116"/>
      <c r="D15" s="116"/>
      <c r="E15" s="116"/>
      <c r="F15" s="116"/>
      <c r="G15" s="72">
        <v>6248.19</v>
      </c>
      <c r="H15" s="72"/>
      <c r="I15" s="72">
        <v>77290</v>
      </c>
      <c r="J15" s="72">
        <v>6118.52</v>
      </c>
      <c r="K15" s="73">
        <f>J15/G15*100</f>
        <v>97.924678987034667</v>
      </c>
      <c r="L15" s="73">
        <f>J15/I15*100</f>
        <v>7.9163151766075828</v>
      </c>
    </row>
    <row r="16" spans="2:12" x14ac:dyDescent="0.25">
      <c r="B16" s="96" t="s">
        <v>57</v>
      </c>
      <c r="C16" s="97"/>
      <c r="D16" s="97"/>
      <c r="E16" s="97"/>
      <c r="F16" s="97"/>
      <c r="G16" s="71">
        <f>G10-G13</f>
        <v>56608.929999999993</v>
      </c>
      <c r="H16" s="71">
        <f t="shared" ref="H16:J16" si="0">H10-H13</f>
        <v>0</v>
      </c>
      <c r="I16" s="71">
        <f t="shared" si="0"/>
        <v>624</v>
      </c>
      <c r="J16" s="71">
        <f t="shared" si="0"/>
        <v>37041.489999999932</v>
      </c>
      <c r="K16" s="74">
        <f>J16/G16*100</f>
        <v>65.43400484693835</v>
      </c>
      <c r="L16" s="74">
        <f>J16/I16*100</f>
        <v>5936.1362179487078</v>
      </c>
    </row>
    <row r="17" spans="1:43" ht="18" x14ac:dyDescent="0.25">
      <c r="B17" s="2"/>
      <c r="C17" s="14"/>
      <c r="D17" s="14"/>
      <c r="E17" s="14"/>
      <c r="F17" s="14"/>
      <c r="G17" s="14"/>
      <c r="H17" s="14"/>
      <c r="I17" s="15"/>
      <c r="J17" s="15"/>
      <c r="K17" s="15"/>
      <c r="L17" s="15"/>
    </row>
    <row r="18" spans="1:43" ht="18" customHeight="1" x14ac:dyDescent="0.25">
      <c r="B18" s="120" t="s">
        <v>58</v>
      </c>
      <c r="C18" s="120"/>
      <c r="D18" s="120"/>
      <c r="E18" s="120"/>
      <c r="F18" s="120"/>
      <c r="G18" s="14"/>
      <c r="H18" s="14"/>
      <c r="I18" s="15"/>
      <c r="J18" s="15"/>
      <c r="K18" s="15"/>
      <c r="L18" s="15"/>
    </row>
    <row r="19" spans="1:43" ht="25.5" x14ac:dyDescent="0.25">
      <c r="B19" s="102" t="s">
        <v>6</v>
      </c>
      <c r="C19" s="103"/>
      <c r="D19" s="103"/>
      <c r="E19" s="103"/>
      <c r="F19" s="104"/>
      <c r="G19" s="22" t="s">
        <v>55</v>
      </c>
      <c r="H19" s="1" t="s">
        <v>45</v>
      </c>
      <c r="I19" s="1" t="s">
        <v>42</v>
      </c>
      <c r="J19" s="22" t="s">
        <v>56</v>
      </c>
      <c r="K19" s="1" t="s">
        <v>15</v>
      </c>
      <c r="L19" s="1" t="s">
        <v>43</v>
      </c>
    </row>
    <row r="20" spans="1:43" s="25" customFormat="1" x14ac:dyDescent="0.25">
      <c r="B20" s="105">
        <v>1</v>
      </c>
      <c r="C20" s="105"/>
      <c r="D20" s="105"/>
      <c r="E20" s="105"/>
      <c r="F20" s="106"/>
      <c r="G20" s="24">
        <v>2</v>
      </c>
      <c r="H20" s="23">
        <v>3</v>
      </c>
      <c r="I20" s="23">
        <v>4</v>
      </c>
      <c r="J20" s="23">
        <v>5</v>
      </c>
      <c r="K20" s="23" t="s">
        <v>17</v>
      </c>
      <c r="L20" s="23" t="s">
        <v>18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25"/>
      <c r="B21" s="107" t="s">
        <v>49</v>
      </c>
      <c r="C21" s="109"/>
      <c r="D21" s="109"/>
      <c r="E21" s="109"/>
      <c r="F21" s="110"/>
      <c r="G21" s="16">
        <v>0</v>
      </c>
      <c r="H21" s="16"/>
      <c r="I21" s="16">
        <v>0</v>
      </c>
      <c r="J21" s="16">
        <v>0</v>
      </c>
      <c r="K21" s="16"/>
      <c r="L21" s="16"/>
    </row>
    <row r="22" spans="1:43" x14ac:dyDescent="0.25">
      <c r="A22" s="25"/>
      <c r="B22" s="107" t="s">
        <v>50</v>
      </c>
      <c r="C22" s="108"/>
      <c r="D22" s="108"/>
      <c r="E22" s="108"/>
      <c r="F22" s="108"/>
      <c r="G22" s="72">
        <v>1331.27</v>
      </c>
      <c r="H22" s="72"/>
      <c r="I22" s="72">
        <v>624</v>
      </c>
      <c r="J22" s="72">
        <v>620.20000000000005</v>
      </c>
      <c r="K22" s="72">
        <f>J22/G22*100</f>
        <v>46.587093527233399</v>
      </c>
      <c r="L22" s="72">
        <f>J22/I22*100</f>
        <v>99.391025641025649</v>
      </c>
    </row>
    <row r="23" spans="1:43" s="35" customFormat="1" ht="15" customHeight="1" x14ac:dyDescent="0.25">
      <c r="A23" s="25"/>
      <c r="B23" s="99" t="s">
        <v>52</v>
      </c>
      <c r="C23" s="100"/>
      <c r="D23" s="100"/>
      <c r="E23" s="100"/>
      <c r="F23" s="101"/>
      <c r="G23" s="71">
        <f>G21-G22</f>
        <v>-1331.27</v>
      </c>
      <c r="H23" s="71">
        <f t="shared" ref="H23:J23" si="1">H21-H22</f>
        <v>0</v>
      </c>
      <c r="I23" s="71">
        <f t="shared" si="1"/>
        <v>-624</v>
      </c>
      <c r="J23" s="71">
        <f t="shared" si="1"/>
        <v>-620.20000000000005</v>
      </c>
      <c r="K23" s="71">
        <f>J23/G23*100</f>
        <v>46.587093527233399</v>
      </c>
      <c r="L23" s="71">
        <f>J23/I23*100</f>
        <v>99.391025641025649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35" customFormat="1" ht="15" customHeight="1" x14ac:dyDescent="0.25">
      <c r="A24" s="25"/>
      <c r="B24" s="99" t="s">
        <v>59</v>
      </c>
      <c r="C24" s="100"/>
      <c r="D24" s="100"/>
      <c r="E24" s="100"/>
      <c r="F24" s="101"/>
      <c r="G24" s="71">
        <v>-29331.69</v>
      </c>
      <c r="H24" s="71"/>
      <c r="I24" s="71">
        <v>0</v>
      </c>
      <c r="J24" s="71">
        <v>-30666.720000000001</v>
      </c>
      <c r="K24" s="71">
        <f>J24/G24*100</f>
        <v>104.5514936234496</v>
      </c>
      <c r="L24" s="71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25">
      <c r="A25" s="25"/>
      <c r="B25" s="96" t="s">
        <v>60</v>
      </c>
      <c r="C25" s="97"/>
      <c r="D25" s="97"/>
      <c r="E25" s="97"/>
      <c r="F25" s="97"/>
      <c r="G25" s="71">
        <v>25945.97</v>
      </c>
      <c r="H25" s="71"/>
      <c r="I25" s="71">
        <v>0</v>
      </c>
      <c r="J25" s="71">
        <v>5754.57</v>
      </c>
      <c r="K25" s="71">
        <f>J25/G25*100</f>
        <v>22.179051313171179</v>
      </c>
      <c r="L25" s="71"/>
    </row>
    <row r="26" spans="1:43" ht="15.75" x14ac:dyDescent="0.25">
      <c r="B26" s="11"/>
      <c r="C26" s="12"/>
      <c r="D26" s="12"/>
      <c r="E26" s="12"/>
      <c r="F26" s="12"/>
      <c r="G26" s="13"/>
      <c r="H26" s="13"/>
      <c r="I26" s="13"/>
      <c r="J26" s="13"/>
      <c r="K26" s="13"/>
    </row>
    <row r="27" spans="1:43" ht="15.75" x14ac:dyDescent="0.25">
      <c r="B27" s="111" t="s">
        <v>68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</row>
    <row r="28" spans="1:43" ht="15.75" x14ac:dyDescent="0.25">
      <c r="B28" s="11"/>
      <c r="C28" s="12"/>
      <c r="D28" s="12"/>
      <c r="E28" s="12"/>
      <c r="F28" s="12"/>
      <c r="G28" s="13"/>
      <c r="H28" s="13"/>
      <c r="I28" s="13"/>
      <c r="J28" s="13"/>
      <c r="K28" s="13"/>
    </row>
    <row r="29" spans="1:43" s="62" customFormat="1" ht="27" customHeight="1" x14ac:dyDescent="0.25">
      <c r="B29" s="117" t="s">
        <v>41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</row>
    <row r="30" spans="1:43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43" ht="15" customHeight="1" x14ac:dyDescent="0.25">
      <c r="B31" s="117" t="s">
        <v>61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</row>
    <row r="32" spans="1:43" ht="36.75" customHeight="1" x14ac:dyDescent="0.25"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</row>
    <row r="33" spans="2:12" x14ac:dyDescent="0.25">
      <c r="B33" s="113"/>
      <c r="C33" s="113"/>
      <c r="D33" s="113"/>
      <c r="E33" s="113"/>
      <c r="F33" s="113"/>
      <c r="G33" s="113"/>
      <c r="H33" s="113"/>
      <c r="I33" s="113"/>
      <c r="J33" s="113"/>
      <c r="K33" s="113"/>
    </row>
    <row r="34" spans="2:12" ht="15" customHeight="1" x14ac:dyDescent="0.25">
      <c r="B34" s="95" t="s">
        <v>69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</row>
    <row r="35" spans="2:12" x14ac:dyDescent="0.25"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</row>
  </sheetData>
  <mergeCells count="27">
    <mergeCell ref="B1:L1"/>
    <mergeCell ref="B3:L3"/>
    <mergeCell ref="B5:L5"/>
    <mergeCell ref="B33:F33"/>
    <mergeCell ref="G33:K33"/>
    <mergeCell ref="B14:F14"/>
    <mergeCell ref="B15:F15"/>
    <mergeCell ref="B29:L29"/>
    <mergeCell ref="B31:L32"/>
    <mergeCell ref="B9:F9"/>
    <mergeCell ref="B10:F10"/>
    <mergeCell ref="B11:F11"/>
    <mergeCell ref="B7:F7"/>
    <mergeCell ref="B8:F8"/>
    <mergeCell ref="B12:F12"/>
    <mergeCell ref="B18:F18"/>
    <mergeCell ref="B34:L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L27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97"/>
  <sheetViews>
    <sheetView workbookViewId="0">
      <selection activeCell="B2" sqref="B2:L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7" width="25.28515625" customWidth="1"/>
    <col min="8" max="8" width="25.28515625" hidden="1" customWidth="1"/>
    <col min="9" max="10" width="25.28515625" customWidth="1"/>
    <col min="11" max="12" width="15.7109375" customWidth="1"/>
    <col min="15" max="15" width="10.140625" bestFit="1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15.75" customHeight="1" x14ac:dyDescent="0.25">
      <c r="B2" s="112" t="s">
        <v>11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</row>
    <row r="4" spans="2:12" ht="18" customHeight="1" x14ac:dyDescent="0.25">
      <c r="B4" s="112" t="s">
        <v>62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2:12" ht="18" x14ac:dyDescent="0.25">
      <c r="B5" s="2"/>
      <c r="C5" s="2"/>
      <c r="D5" s="2"/>
      <c r="E5" s="2"/>
      <c r="F5" s="2"/>
      <c r="G5" s="2"/>
      <c r="H5" s="2"/>
      <c r="I5" s="2"/>
      <c r="J5" s="3"/>
      <c r="K5" s="3"/>
    </row>
    <row r="6" spans="2:12" ht="15.75" customHeight="1" x14ac:dyDescent="0.25">
      <c r="B6" s="112" t="s">
        <v>16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2:12" ht="18" x14ac:dyDescent="0.25">
      <c r="B7" s="2"/>
      <c r="C7" s="2"/>
      <c r="D7" s="2"/>
      <c r="E7" s="2"/>
      <c r="F7" s="2"/>
      <c r="G7" s="2"/>
      <c r="H7" s="2"/>
      <c r="I7" s="2"/>
      <c r="J7" s="3"/>
      <c r="K7" s="3"/>
    </row>
    <row r="8" spans="2:12" ht="25.5" x14ac:dyDescent="0.25">
      <c r="B8" s="121" t="s">
        <v>6</v>
      </c>
      <c r="C8" s="122"/>
      <c r="D8" s="122"/>
      <c r="E8" s="122"/>
      <c r="F8" s="123"/>
      <c r="G8" s="36" t="s">
        <v>55</v>
      </c>
      <c r="H8" s="36" t="s">
        <v>45</v>
      </c>
      <c r="I8" s="36" t="s">
        <v>42</v>
      </c>
      <c r="J8" s="36" t="s">
        <v>56</v>
      </c>
      <c r="K8" s="36" t="s">
        <v>15</v>
      </c>
      <c r="L8" s="36" t="s">
        <v>43</v>
      </c>
    </row>
    <row r="9" spans="2:12" ht="16.5" customHeight="1" x14ac:dyDescent="0.25">
      <c r="B9" s="121">
        <v>1</v>
      </c>
      <c r="C9" s="122"/>
      <c r="D9" s="122"/>
      <c r="E9" s="122"/>
      <c r="F9" s="123"/>
      <c r="G9" s="36">
        <v>2</v>
      </c>
      <c r="H9" s="36">
        <v>3</v>
      </c>
      <c r="I9" s="36">
        <v>4</v>
      </c>
      <c r="J9" s="36">
        <v>5</v>
      </c>
      <c r="K9" s="36" t="s">
        <v>17</v>
      </c>
      <c r="L9" s="36" t="s">
        <v>18</v>
      </c>
    </row>
    <row r="10" spans="2:12" x14ac:dyDescent="0.25">
      <c r="B10" s="5"/>
      <c r="C10" s="5"/>
      <c r="D10" s="5"/>
      <c r="E10" s="5"/>
      <c r="F10" s="5" t="s">
        <v>19</v>
      </c>
      <c r="G10" s="58">
        <v>288150.3</v>
      </c>
      <c r="H10" s="58"/>
      <c r="I10" s="58">
        <v>693853</v>
      </c>
      <c r="J10" s="68">
        <v>323332.71999999997</v>
      </c>
      <c r="K10" s="59">
        <f>J10/G10*100</f>
        <v>112.20974609431258</v>
      </c>
      <c r="L10" s="59">
        <f>J10/I10*100</f>
        <v>46.599599627010328</v>
      </c>
    </row>
    <row r="11" spans="2:12" ht="15.75" customHeight="1" x14ac:dyDescent="0.25">
      <c r="B11" s="5">
        <v>6</v>
      </c>
      <c r="C11" s="5"/>
      <c r="D11" s="5"/>
      <c r="E11" s="5"/>
      <c r="F11" s="5" t="s">
        <v>2</v>
      </c>
      <c r="G11" s="58">
        <f>G12+G17+G19+G26+G31</f>
        <v>288150.30000000005</v>
      </c>
      <c r="H11" s="58"/>
      <c r="I11" s="58">
        <v>693853</v>
      </c>
      <c r="J11" s="68">
        <f>J12+J17+J19+J26+J31</f>
        <v>323332.71999999997</v>
      </c>
      <c r="K11" s="59">
        <f t="shared" ref="K11:K32" si="0">J11/G11*100</f>
        <v>112.20974609431255</v>
      </c>
      <c r="L11" s="59">
        <f t="shared" ref="L11:L30" si="1">J11/I11*100</f>
        <v>46.599599627010328</v>
      </c>
    </row>
    <row r="12" spans="2:12" ht="25.5" x14ac:dyDescent="0.25">
      <c r="B12" s="5"/>
      <c r="C12" s="9">
        <v>63</v>
      </c>
      <c r="D12" s="9"/>
      <c r="E12" s="9"/>
      <c r="F12" s="9" t="s">
        <v>20</v>
      </c>
      <c r="G12" s="55">
        <v>25588.959999999999</v>
      </c>
      <c r="H12" s="55"/>
      <c r="I12" s="55">
        <v>47311</v>
      </c>
      <c r="J12" s="67">
        <f>J13+J15</f>
        <v>29324.98</v>
      </c>
      <c r="K12" s="57">
        <f t="shared" si="0"/>
        <v>114.60012442865985</v>
      </c>
      <c r="L12" s="57">
        <f t="shared" si="1"/>
        <v>61.98342880091311</v>
      </c>
    </row>
    <row r="13" spans="2:12" ht="25.5" x14ac:dyDescent="0.25">
      <c r="B13" s="5"/>
      <c r="C13" s="9"/>
      <c r="D13" s="9">
        <v>636</v>
      </c>
      <c r="E13" s="9"/>
      <c r="F13" s="9" t="s">
        <v>155</v>
      </c>
      <c r="G13" s="55">
        <v>25588.959999999999</v>
      </c>
      <c r="H13" s="55"/>
      <c r="I13" s="55">
        <v>47311</v>
      </c>
      <c r="J13" s="67">
        <v>27748.98</v>
      </c>
      <c r="K13" s="57">
        <f t="shared" si="0"/>
        <v>108.44121840043519</v>
      </c>
      <c r="L13" s="57">
        <f t="shared" si="1"/>
        <v>58.652279596711118</v>
      </c>
    </row>
    <row r="14" spans="2:12" s="62" customFormat="1" ht="25.5" x14ac:dyDescent="0.25">
      <c r="B14" s="26"/>
      <c r="C14" s="26"/>
      <c r="D14" s="26"/>
      <c r="E14" s="26">
        <v>6361</v>
      </c>
      <c r="F14" s="26" t="s">
        <v>139</v>
      </c>
      <c r="G14" s="56">
        <f>192800/7.5345</f>
        <v>25588.957462339902</v>
      </c>
      <c r="H14" s="56"/>
      <c r="I14" s="56">
        <v>47311</v>
      </c>
      <c r="J14" s="70">
        <v>27748.98</v>
      </c>
      <c r="K14" s="57">
        <f t="shared" si="0"/>
        <v>108.44122915456431</v>
      </c>
      <c r="L14" s="57">
        <f t="shared" si="1"/>
        <v>58.652279596711118</v>
      </c>
    </row>
    <row r="15" spans="2:12" s="62" customFormat="1" x14ac:dyDescent="0.25">
      <c r="B15" s="26"/>
      <c r="C15" s="26"/>
      <c r="D15" s="26">
        <v>638</v>
      </c>
      <c r="E15" s="26"/>
      <c r="F15" s="26" t="s">
        <v>153</v>
      </c>
      <c r="G15" s="56">
        <v>0</v>
      </c>
      <c r="H15" s="56"/>
      <c r="I15" s="56">
        <v>0</v>
      </c>
      <c r="J15" s="70">
        <v>1576</v>
      </c>
      <c r="K15" s="57"/>
      <c r="L15" s="57"/>
    </row>
    <row r="16" spans="2:12" s="62" customFormat="1" ht="25.5" x14ac:dyDescent="0.25">
      <c r="B16" s="26"/>
      <c r="C16" s="26"/>
      <c r="D16" s="26"/>
      <c r="E16" s="26">
        <v>6381</v>
      </c>
      <c r="F16" s="26" t="s">
        <v>154</v>
      </c>
      <c r="G16" s="56">
        <v>0</v>
      </c>
      <c r="H16" s="56"/>
      <c r="I16" s="56">
        <v>0</v>
      </c>
      <c r="J16" s="70">
        <v>1576</v>
      </c>
      <c r="K16" s="57"/>
      <c r="L16" s="57"/>
    </row>
    <row r="17" spans="2:12" s="62" customFormat="1" ht="25.5" x14ac:dyDescent="0.25">
      <c r="B17" s="26"/>
      <c r="C17" s="26">
        <v>65</v>
      </c>
      <c r="D17" s="26"/>
      <c r="E17" s="26"/>
      <c r="F17" s="26" t="s">
        <v>140</v>
      </c>
      <c r="G17" s="56">
        <v>8503.18</v>
      </c>
      <c r="H17" s="56"/>
      <c r="I17" s="56">
        <v>3318</v>
      </c>
      <c r="J17" s="70">
        <v>1341</v>
      </c>
      <c r="K17" s="57">
        <f t="shared" si="0"/>
        <v>15.770570539492285</v>
      </c>
      <c r="L17" s="57">
        <f t="shared" si="1"/>
        <v>40.415913200723324</v>
      </c>
    </row>
    <row r="18" spans="2:12" x14ac:dyDescent="0.25">
      <c r="B18" s="6"/>
      <c r="C18" s="6"/>
      <c r="D18" s="7"/>
      <c r="E18" s="7">
        <v>6526</v>
      </c>
      <c r="F18" s="7" t="s">
        <v>141</v>
      </c>
      <c r="G18" s="55">
        <f>64067.2/7.5345</f>
        <v>8503.1787112615293</v>
      </c>
      <c r="H18" s="55"/>
      <c r="I18" s="55">
        <v>3318</v>
      </c>
      <c r="J18" s="67">
        <v>1341</v>
      </c>
      <c r="K18" s="57">
        <f t="shared" si="0"/>
        <v>15.770572929673845</v>
      </c>
      <c r="L18" s="57">
        <f t="shared" si="1"/>
        <v>40.415913200723324</v>
      </c>
    </row>
    <row r="19" spans="2:12" ht="25.5" x14ac:dyDescent="0.25">
      <c r="B19" s="6"/>
      <c r="C19" s="6">
        <v>66</v>
      </c>
      <c r="D19" s="7"/>
      <c r="E19" s="7"/>
      <c r="F19" s="9" t="s">
        <v>21</v>
      </c>
      <c r="G19" s="55">
        <v>9502.75</v>
      </c>
      <c r="H19" s="55"/>
      <c r="I19" s="55">
        <v>13136</v>
      </c>
      <c r="J19" s="67">
        <f>J20+J23</f>
        <v>10604.51</v>
      </c>
      <c r="K19" s="57">
        <f t="shared" si="0"/>
        <v>111.59411749230486</v>
      </c>
      <c r="L19" s="57">
        <f t="shared" si="1"/>
        <v>80.7286084043849</v>
      </c>
    </row>
    <row r="20" spans="2:12" ht="25.5" x14ac:dyDescent="0.25">
      <c r="B20" s="6"/>
      <c r="C20" s="21"/>
      <c r="D20" s="7">
        <v>661</v>
      </c>
      <c r="E20" s="7"/>
      <c r="F20" s="9" t="s">
        <v>22</v>
      </c>
      <c r="G20" s="55">
        <v>9502.75</v>
      </c>
      <c r="H20" s="55"/>
      <c r="I20" s="55">
        <f>SUM(I21:I22)</f>
        <v>13136</v>
      </c>
      <c r="J20" s="67">
        <f>SUM(J21:J22)</f>
        <v>9104.51</v>
      </c>
      <c r="K20" s="57">
        <f t="shared" si="0"/>
        <v>95.809213122517164</v>
      </c>
      <c r="L20" s="57">
        <f t="shared" si="1"/>
        <v>69.309607186358107</v>
      </c>
    </row>
    <row r="21" spans="2:12" x14ac:dyDescent="0.25">
      <c r="B21" s="6"/>
      <c r="C21" s="21"/>
      <c r="D21" s="7"/>
      <c r="E21" s="7">
        <v>6614</v>
      </c>
      <c r="F21" s="9" t="s">
        <v>23</v>
      </c>
      <c r="G21" s="55">
        <f>6319/7.5345</f>
        <v>838.675426372022</v>
      </c>
      <c r="H21" s="55"/>
      <c r="I21" s="55">
        <v>2742</v>
      </c>
      <c r="J21" s="67">
        <v>955.68</v>
      </c>
      <c r="K21" s="57">
        <f t="shared" si="0"/>
        <v>113.95111504984965</v>
      </c>
      <c r="L21" s="57">
        <f t="shared" si="1"/>
        <v>34.853391684901531</v>
      </c>
    </row>
    <row r="22" spans="2:12" x14ac:dyDescent="0.25">
      <c r="B22" s="6"/>
      <c r="C22" s="6"/>
      <c r="D22" s="7"/>
      <c r="E22" s="7">
        <v>6615</v>
      </c>
      <c r="F22" s="9" t="s">
        <v>142</v>
      </c>
      <c r="G22" s="55">
        <f>65279.41/7.5345</f>
        <v>8664.0666268498244</v>
      </c>
      <c r="H22" s="55"/>
      <c r="I22" s="55">
        <v>10394</v>
      </c>
      <c r="J22" s="67">
        <v>8148.83</v>
      </c>
      <c r="K22" s="57">
        <f t="shared" si="0"/>
        <v>94.053177923942627</v>
      </c>
      <c r="L22" s="57">
        <f t="shared" si="1"/>
        <v>78.399365018279781</v>
      </c>
    </row>
    <row r="23" spans="2:12" ht="38.25" x14ac:dyDescent="0.25">
      <c r="B23" s="6"/>
      <c r="C23" s="6"/>
      <c r="D23" s="7">
        <v>663</v>
      </c>
      <c r="E23" s="7"/>
      <c r="F23" s="9" t="s">
        <v>151</v>
      </c>
      <c r="G23" s="55"/>
      <c r="H23" s="55"/>
      <c r="I23" s="55">
        <v>1500</v>
      </c>
      <c r="J23" s="67">
        <v>1500</v>
      </c>
      <c r="K23" s="57"/>
      <c r="L23" s="57">
        <f t="shared" si="1"/>
        <v>100</v>
      </c>
    </row>
    <row r="24" spans="2:12" x14ac:dyDescent="0.25">
      <c r="B24" s="6"/>
      <c r="C24" s="6"/>
      <c r="D24" s="7"/>
      <c r="E24" s="7">
        <v>6631</v>
      </c>
      <c r="F24" s="9" t="s">
        <v>152</v>
      </c>
      <c r="G24" s="55"/>
      <c r="H24" s="55"/>
      <c r="I24" s="55">
        <v>1500</v>
      </c>
      <c r="J24" s="67">
        <v>0</v>
      </c>
      <c r="K24" s="57"/>
      <c r="L24" s="57">
        <f t="shared" si="1"/>
        <v>0</v>
      </c>
    </row>
    <row r="25" spans="2:12" x14ac:dyDescent="0.25">
      <c r="B25" s="6"/>
      <c r="C25" s="6"/>
      <c r="D25" s="7"/>
      <c r="E25" s="7">
        <v>6632</v>
      </c>
      <c r="F25" s="9" t="s">
        <v>156</v>
      </c>
      <c r="G25" s="55"/>
      <c r="H25" s="55"/>
      <c r="I25" s="55"/>
      <c r="J25" s="67">
        <v>1500</v>
      </c>
      <c r="K25" s="57"/>
      <c r="L25" s="57"/>
    </row>
    <row r="26" spans="2:12" s="30" customFormat="1" ht="25.5" x14ac:dyDescent="0.25">
      <c r="B26" s="6"/>
      <c r="C26" s="6">
        <v>67</v>
      </c>
      <c r="D26" s="7"/>
      <c r="E26" s="7"/>
      <c r="F26" s="9" t="s">
        <v>143</v>
      </c>
      <c r="G26" s="55">
        <v>243759.07</v>
      </c>
      <c r="H26" s="55"/>
      <c r="I26" s="55">
        <v>560650</v>
      </c>
      <c r="J26" s="67">
        <v>282062.23</v>
      </c>
      <c r="K26" s="57">
        <f t="shared" si="0"/>
        <v>115.71353221851395</v>
      </c>
      <c r="L26" s="57">
        <f t="shared" si="1"/>
        <v>50.309859983947206</v>
      </c>
    </row>
    <row r="27" spans="2:12" ht="25.5" x14ac:dyDescent="0.25">
      <c r="B27" s="6"/>
      <c r="C27" s="6" t="s">
        <v>144</v>
      </c>
      <c r="D27" s="7">
        <v>671</v>
      </c>
      <c r="E27" s="7"/>
      <c r="F27" s="26" t="s">
        <v>145</v>
      </c>
      <c r="G27" s="55">
        <f>SUM(G28:G30)</f>
        <v>243759.07226756919</v>
      </c>
      <c r="H27" s="55"/>
      <c r="I27" s="55">
        <v>560650</v>
      </c>
      <c r="J27" s="67">
        <f>SUM(J28:J30)</f>
        <v>282062.23</v>
      </c>
      <c r="K27" s="57">
        <f t="shared" si="0"/>
        <v>115.71353114208863</v>
      </c>
      <c r="L27" s="57">
        <f t="shared" si="1"/>
        <v>50.309859983947206</v>
      </c>
    </row>
    <row r="28" spans="2:12" ht="25.5" x14ac:dyDescent="0.25">
      <c r="B28" s="6"/>
      <c r="C28" s="6"/>
      <c r="D28" s="6" t="s">
        <v>144</v>
      </c>
      <c r="E28" s="6">
        <v>6711</v>
      </c>
      <c r="F28" s="26" t="s">
        <v>146</v>
      </c>
      <c r="G28" s="55">
        <f>1782749.62/7.5345</f>
        <v>236611.53626650741</v>
      </c>
      <c r="H28" s="55"/>
      <c r="I28" s="55">
        <v>550601</v>
      </c>
      <c r="J28" s="67">
        <v>273862.84999999998</v>
      </c>
      <c r="K28" s="57">
        <f t="shared" si="0"/>
        <v>115.74365913060747</v>
      </c>
      <c r="L28" s="57">
        <f t="shared" si="1"/>
        <v>49.738894408110404</v>
      </c>
    </row>
    <row r="29" spans="2:12" ht="25.5" x14ac:dyDescent="0.25">
      <c r="B29" s="6"/>
      <c r="C29" s="6"/>
      <c r="D29" s="6"/>
      <c r="E29" s="6">
        <v>6712</v>
      </c>
      <c r="F29" s="26" t="s">
        <v>147</v>
      </c>
      <c r="G29" s="55">
        <f>43822.62/7.5345</f>
        <v>5816.26119848696</v>
      </c>
      <c r="H29" s="55"/>
      <c r="I29" s="55">
        <v>9428</v>
      </c>
      <c r="J29" s="67">
        <v>7579.18</v>
      </c>
      <c r="K29" s="57">
        <f t="shared" si="0"/>
        <v>130.31017248626395</v>
      </c>
      <c r="L29" s="57">
        <f t="shared" si="1"/>
        <v>80.390114552397122</v>
      </c>
    </row>
    <row r="30" spans="2:12" ht="25.5" x14ac:dyDescent="0.25">
      <c r="B30" s="6"/>
      <c r="C30" s="6"/>
      <c r="D30" s="6"/>
      <c r="E30" s="6">
        <v>6714</v>
      </c>
      <c r="F30" s="26" t="s">
        <v>148</v>
      </c>
      <c r="G30" s="55">
        <f>10030.49/7.5345</f>
        <v>1331.2748025748224</v>
      </c>
      <c r="H30" s="55"/>
      <c r="I30" s="55">
        <v>621</v>
      </c>
      <c r="J30" s="67">
        <v>620.20000000000005</v>
      </c>
      <c r="K30" s="57">
        <f t="shared" si="0"/>
        <v>46.58692546425948</v>
      </c>
      <c r="L30" s="57">
        <f t="shared" si="1"/>
        <v>99.871175523349436</v>
      </c>
    </row>
    <row r="31" spans="2:12" x14ac:dyDescent="0.25">
      <c r="B31" s="6"/>
      <c r="C31" s="6">
        <v>68</v>
      </c>
      <c r="D31" s="6"/>
      <c r="E31" s="6"/>
      <c r="F31" s="26" t="s">
        <v>149</v>
      </c>
      <c r="G31" s="55">
        <v>796.34</v>
      </c>
      <c r="H31" s="55"/>
      <c r="I31" s="55">
        <v>0</v>
      </c>
      <c r="J31" s="67">
        <v>0</v>
      </c>
      <c r="K31" s="57">
        <f t="shared" si="0"/>
        <v>0</v>
      </c>
      <c r="L31" s="57"/>
    </row>
    <row r="32" spans="2:12" x14ac:dyDescent="0.25">
      <c r="B32" s="6"/>
      <c r="C32" s="6"/>
      <c r="D32" s="6"/>
      <c r="E32" s="6">
        <v>6831</v>
      </c>
      <c r="F32" s="26" t="s">
        <v>150</v>
      </c>
      <c r="G32" s="55">
        <f>6000/7.5345</f>
        <v>796.33685048775624</v>
      </c>
      <c r="H32" s="55"/>
      <c r="I32" s="55">
        <v>0</v>
      </c>
      <c r="J32" s="67">
        <v>0</v>
      </c>
      <c r="K32" s="57">
        <f t="shared" si="0"/>
        <v>0</v>
      </c>
      <c r="L32" s="57"/>
    </row>
    <row r="33" spans="2:15" x14ac:dyDescent="0.25">
      <c r="B33" s="76"/>
      <c r="C33" s="76"/>
      <c r="D33" s="76"/>
      <c r="E33" s="76"/>
      <c r="F33" s="77"/>
      <c r="G33" s="78"/>
      <c r="H33" s="78"/>
      <c r="I33" s="78"/>
      <c r="J33" s="79"/>
      <c r="K33" s="75"/>
      <c r="L33" s="75"/>
    </row>
    <row r="34" spans="2:15" x14ac:dyDescent="0.25">
      <c r="B34" s="76"/>
      <c r="C34" s="76"/>
      <c r="D34" s="76"/>
      <c r="E34" s="76"/>
      <c r="F34" s="77"/>
      <c r="G34" s="78"/>
      <c r="H34" s="78"/>
      <c r="I34" s="78"/>
      <c r="J34" s="79"/>
      <c r="K34" s="75"/>
      <c r="L34" s="75"/>
    </row>
    <row r="35" spans="2:15" ht="15.75" customHeight="1" x14ac:dyDescent="0.25"/>
    <row r="36" spans="2:15" ht="15.75" customHeight="1" x14ac:dyDescent="0.25">
      <c r="B36" s="2"/>
      <c r="C36" s="2"/>
      <c r="D36" s="2"/>
      <c r="E36" s="2"/>
      <c r="F36" s="2"/>
      <c r="G36" s="2"/>
      <c r="H36" s="2"/>
      <c r="I36" s="2"/>
      <c r="J36" s="3"/>
      <c r="K36" s="3"/>
      <c r="L36" s="3"/>
    </row>
    <row r="37" spans="2:15" ht="25.5" x14ac:dyDescent="0.25">
      <c r="B37" s="121" t="s">
        <v>6</v>
      </c>
      <c r="C37" s="122"/>
      <c r="D37" s="122"/>
      <c r="E37" s="122"/>
      <c r="F37" s="123"/>
      <c r="G37" s="36" t="s">
        <v>55</v>
      </c>
      <c r="H37" s="36" t="s">
        <v>45</v>
      </c>
      <c r="I37" s="36" t="s">
        <v>42</v>
      </c>
      <c r="J37" s="36" t="s">
        <v>56</v>
      </c>
      <c r="K37" s="36" t="s">
        <v>15</v>
      </c>
      <c r="L37" s="36" t="s">
        <v>43</v>
      </c>
    </row>
    <row r="38" spans="2:15" ht="12.75" customHeight="1" x14ac:dyDescent="0.25">
      <c r="B38" s="121">
        <v>1</v>
      </c>
      <c r="C38" s="122"/>
      <c r="D38" s="122"/>
      <c r="E38" s="122"/>
      <c r="F38" s="123"/>
      <c r="G38" s="36">
        <v>2</v>
      </c>
      <c r="H38" s="36">
        <v>3</v>
      </c>
      <c r="I38" s="36">
        <v>4</v>
      </c>
      <c r="J38" s="36">
        <v>5</v>
      </c>
      <c r="K38" s="36" t="s">
        <v>17</v>
      </c>
      <c r="L38" s="36" t="s">
        <v>18</v>
      </c>
    </row>
    <row r="39" spans="2:15" x14ac:dyDescent="0.25">
      <c r="B39" s="5"/>
      <c r="C39" s="5"/>
      <c r="D39" s="5"/>
      <c r="E39" s="5"/>
      <c r="F39" s="5" t="s">
        <v>7</v>
      </c>
      <c r="G39" s="58">
        <f>225293.18+6248.19</f>
        <v>231541.37</v>
      </c>
      <c r="H39" s="58"/>
      <c r="I39" s="58">
        <f>615939+77290</f>
        <v>693229</v>
      </c>
      <c r="J39" s="68">
        <f>280172.71+6118.52</f>
        <v>286291.23000000004</v>
      </c>
      <c r="K39" s="59">
        <f>J39/G39*100</f>
        <v>123.64582191078857</v>
      </c>
      <c r="L39" s="59">
        <f>J39/I39*100</f>
        <v>41.298218914673221</v>
      </c>
    </row>
    <row r="40" spans="2:15" x14ac:dyDescent="0.25">
      <c r="B40" s="5">
        <v>3</v>
      </c>
      <c r="C40" s="5"/>
      <c r="D40" s="5"/>
      <c r="E40" s="5"/>
      <c r="F40" s="5" t="s">
        <v>3</v>
      </c>
      <c r="G40" s="58">
        <v>225293.18</v>
      </c>
      <c r="H40" s="58"/>
      <c r="I40" s="58">
        <v>615939</v>
      </c>
      <c r="J40" s="68">
        <v>280172.71000000002</v>
      </c>
      <c r="K40" s="59">
        <f t="shared" ref="K40:K92" si="2">J40/G40*100</f>
        <v>124.35916169322125</v>
      </c>
      <c r="L40" s="59">
        <f t="shared" ref="L40:L97" si="3">J40/I40*100</f>
        <v>45.487087195322914</v>
      </c>
    </row>
    <row r="41" spans="2:15" x14ac:dyDescent="0.25">
      <c r="B41" s="5"/>
      <c r="C41" s="9">
        <v>31</v>
      </c>
      <c r="D41" s="9"/>
      <c r="E41" s="9"/>
      <c r="F41" s="9" t="s">
        <v>4</v>
      </c>
      <c r="G41" s="55">
        <v>176126.99</v>
      </c>
      <c r="H41" s="55"/>
      <c r="I41" s="55">
        <v>426073</v>
      </c>
      <c r="J41" s="67">
        <v>212511.83</v>
      </c>
      <c r="K41" s="57">
        <f t="shared" si="2"/>
        <v>120.65829887855348</v>
      </c>
      <c r="L41" s="57">
        <f t="shared" si="3"/>
        <v>49.876859129773536</v>
      </c>
      <c r="O41" s="75"/>
    </row>
    <row r="42" spans="2:15" x14ac:dyDescent="0.25">
      <c r="B42" s="6"/>
      <c r="C42" s="6"/>
      <c r="D42" s="6">
        <v>311</v>
      </c>
      <c r="E42" s="6"/>
      <c r="F42" s="6" t="s">
        <v>24</v>
      </c>
      <c r="G42" s="55">
        <v>147152.51</v>
      </c>
      <c r="H42" s="55"/>
      <c r="I42" s="55">
        <v>334331</v>
      </c>
      <c r="J42" s="67">
        <v>167581.15</v>
      </c>
      <c r="K42" s="57">
        <f t="shared" si="2"/>
        <v>113.88263102002132</v>
      </c>
      <c r="L42" s="57">
        <f t="shared" si="3"/>
        <v>50.124322901555644</v>
      </c>
    </row>
    <row r="43" spans="2:15" x14ac:dyDescent="0.25">
      <c r="B43" s="6"/>
      <c r="C43" s="6"/>
      <c r="D43" s="6"/>
      <c r="E43" s="6">
        <v>3111</v>
      </c>
      <c r="F43" s="6" t="s">
        <v>25</v>
      </c>
      <c r="G43" s="55">
        <v>146974.24</v>
      </c>
      <c r="H43" s="55"/>
      <c r="I43" s="55">
        <v>333327</v>
      </c>
      <c r="J43" s="67">
        <v>166888.4</v>
      </c>
      <c r="K43" s="57">
        <f t="shared" si="2"/>
        <v>113.54942199394942</v>
      </c>
      <c r="L43" s="57">
        <f t="shared" si="3"/>
        <v>50.067471281954354</v>
      </c>
    </row>
    <row r="44" spans="2:15" x14ac:dyDescent="0.25">
      <c r="B44" s="6"/>
      <c r="C44" s="6"/>
      <c r="D44" s="6"/>
      <c r="E44" s="6">
        <v>3113</v>
      </c>
      <c r="F44" s="6" t="s">
        <v>157</v>
      </c>
      <c r="G44" s="55">
        <v>178.27</v>
      </c>
      <c r="H44" s="55"/>
      <c r="I44" s="55">
        <v>1004</v>
      </c>
      <c r="J44" s="67">
        <v>692.75</v>
      </c>
      <c r="K44" s="57">
        <f t="shared" si="2"/>
        <v>388.59594996353843</v>
      </c>
      <c r="L44" s="57">
        <f t="shared" si="3"/>
        <v>68.999003984063748</v>
      </c>
    </row>
    <row r="45" spans="2:15" x14ac:dyDescent="0.25">
      <c r="B45" s="6"/>
      <c r="C45" s="6"/>
      <c r="D45" s="6">
        <v>312</v>
      </c>
      <c r="E45" s="6"/>
      <c r="F45" s="6" t="s">
        <v>158</v>
      </c>
      <c r="G45" s="55">
        <f>36855.58/7.5345</f>
        <v>4891.5760833499235</v>
      </c>
      <c r="H45" s="55"/>
      <c r="I45" s="55">
        <v>35810</v>
      </c>
      <c r="J45" s="67">
        <v>17315.54</v>
      </c>
      <c r="K45" s="57">
        <f t="shared" si="2"/>
        <v>353.98692987601879</v>
      </c>
      <c r="L45" s="57">
        <f t="shared" si="3"/>
        <v>48.353923485060044</v>
      </c>
    </row>
    <row r="46" spans="2:15" x14ac:dyDescent="0.25">
      <c r="B46" s="6"/>
      <c r="C46" s="6"/>
      <c r="D46" s="6"/>
      <c r="E46" s="6">
        <v>3121</v>
      </c>
      <c r="F46" s="6" t="s">
        <v>158</v>
      </c>
      <c r="G46" s="55">
        <f>36855.58/7.5345</f>
        <v>4891.5760833499235</v>
      </c>
      <c r="H46" s="55"/>
      <c r="I46" s="55">
        <v>35810</v>
      </c>
      <c r="J46" s="67">
        <v>17315.54</v>
      </c>
      <c r="K46" s="57">
        <f t="shared" si="2"/>
        <v>353.98692987601879</v>
      </c>
      <c r="L46" s="57">
        <f t="shared" si="3"/>
        <v>48.353923485060044</v>
      </c>
    </row>
    <row r="47" spans="2:15" x14ac:dyDescent="0.25">
      <c r="B47" s="6"/>
      <c r="C47" s="6"/>
      <c r="D47" s="6">
        <v>313</v>
      </c>
      <c r="E47" s="6"/>
      <c r="F47" s="6" t="s">
        <v>159</v>
      </c>
      <c r="G47" s="55">
        <f>181452.58/7.5345</f>
        <v>24082.896011679604</v>
      </c>
      <c r="H47" s="55"/>
      <c r="I47" s="55">
        <v>55932</v>
      </c>
      <c r="J47" s="67">
        <v>27615.14</v>
      </c>
      <c r="K47" s="57">
        <f t="shared" si="2"/>
        <v>114.6670233787803</v>
      </c>
      <c r="L47" s="57">
        <f t="shared" si="3"/>
        <v>49.372702567403273</v>
      </c>
    </row>
    <row r="48" spans="2:15" x14ac:dyDescent="0.25">
      <c r="B48" s="6"/>
      <c r="C48" s="6"/>
      <c r="D48" s="6"/>
      <c r="E48" s="6">
        <v>3132</v>
      </c>
      <c r="F48" s="6" t="s">
        <v>160</v>
      </c>
      <c r="G48" s="55">
        <v>24082.9</v>
      </c>
      <c r="H48" s="55"/>
      <c r="I48" s="55">
        <v>55932</v>
      </c>
      <c r="J48" s="67">
        <v>27615.14</v>
      </c>
      <c r="K48" s="57">
        <f t="shared" si="2"/>
        <v>114.66700438900629</v>
      </c>
      <c r="L48" s="57">
        <f t="shared" si="3"/>
        <v>49.372702567403273</v>
      </c>
    </row>
    <row r="49" spans="2:12" x14ac:dyDescent="0.25">
      <c r="B49" s="6"/>
      <c r="C49" s="6">
        <v>32</v>
      </c>
      <c r="D49" s="7"/>
      <c r="E49" s="7"/>
      <c r="F49" s="6" t="s">
        <v>12</v>
      </c>
      <c r="G49" s="55">
        <v>49015.55</v>
      </c>
      <c r="H49" s="55"/>
      <c r="I49" s="55">
        <v>189601</v>
      </c>
      <c r="J49" s="67">
        <v>67543.100000000006</v>
      </c>
      <c r="K49" s="57">
        <f t="shared" si="2"/>
        <v>137.79933102862256</v>
      </c>
      <c r="L49" s="57">
        <f t="shared" si="3"/>
        <v>35.623810001002113</v>
      </c>
    </row>
    <row r="50" spans="2:12" x14ac:dyDescent="0.25">
      <c r="B50" s="6"/>
      <c r="C50" s="6"/>
      <c r="D50" s="6">
        <v>321</v>
      </c>
      <c r="E50" s="6"/>
      <c r="F50" s="6" t="s">
        <v>26</v>
      </c>
      <c r="G50" s="55">
        <v>9691.84</v>
      </c>
      <c r="H50" s="55"/>
      <c r="I50" s="55">
        <v>24585</v>
      </c>
      <c r="J50" s="67">
        <v>8817.66</v>
      </c>
      <c r="K50" s="57">
        <f t="shared" si="2"/>
        <v>90.980247300822143</v>
      </c>
      <c r="L50" s="57">
        <f t="shared" si="3"/>
        <v>35.866015863331299</v>
      </c>
    </row>
    <row r="51" spans="2:12" x14ac:dyDescent="0.25">
      <c r="B51" s="6"/>
      <c r="C51" s="21"/>
      <c r="D51" s="6"/>
      <c r="E51" s="6">
        <v>3211</v>
      </c>
      <c r="F51" s="26" t="s">
        <v>27</v>
      </c>
      <c r="G51" s="55">
        <f>18359.01/7.5345</f>
        <v>2436.6593669122035</v>
      </c>
      <c r="H51" s="55"/>
      <c r="I51" s="55">
        <v>10434</v>
      </c>
      <c r="J51" s="67">
        <v>3463.23</v>
      </c>
      <c r="K51" s="57">
        <f t="shared" si="2"/>
        <v>142.13024795454658</v>
      </c>
      <c r="L51" s="57">
        <f t="shared" si="3"/>
        <v>33.191776883266243</v>
      </c>
    </row>
    <row r="52" spans="2:12" x14ac:dyDescent="0.25">
      <c r="B52" s="6"/>
      <c r="C52" s="21"/>
      <c r="D52" s="7"/>
      <c r="E52" s="6">
        <v>3212</v>
      </c>
      <c r="F52" s="6" t="s">
        <v>161</v>
      </c>
      <c r="G52" s="55">
        <v>7089.28</v>
      </c>
      <c r="H52" s="55"/>
      <c r="I52" s="55">
        <v>12956</v>
      </c>
      <c r="J52" s="67">
        <v>4876.34</v>
      </c>
      <c r="K52" s="57">
        <f t="shared" si="2"/>
        <v>68.784700279859166</v>
      </c>
      <c r="L52" s="57">
        <f t="shared" si="3"/>
        <v>37.637696820006177</v>
      </c>
    </row>
    <row r="53" spans="2:12" x14ac:dyDescent="0.25">
      <c r="B53" s="6"/>
      <c r="C53" s="6"/>
      <c r="D53" s="6"/>
      <c r="E53" s="6">
        <v>3213</v>
      </c>
      <c r="F53" s="6" t="s">
        <v>162</v>
      </c>
      <c r="G53" s="55">
        <f>1250/7.5345</f>
        <v>165.90351051828256</v>
      </c>
      <c r="H53" s="55"/>
      <c r="I53" s="55">
        <v>1195</v>
      </c>
      <c r="J53" s="67">
        <v>478.09</v>
      </c>
      <c r="K53" s="57">
        <f t="shared" si="2"/>
        <v>288.17352840000001</v>
      </c>
      <c r="L53" s="57">
        <f t="shared" si="3"/>
        <v>40.007531380753136</v>
      </c>
    </row>
    <row r="54" spans="2:12" x14ac:dyDescent="0.25">
      <c r="B54" s="6"/>
      <c r="C54" s="6"/>
      <c r="D54" s="6">
        <v>322</v>
      </c>
      <c r="E54" s="6"/>
      <c r="F54" s="6" t="s">
        <v>163</v>
      </c>
      <c r="G54" s="55">
        <f>114561.74/7.5345</f>
        <v>15204.955869666202</v>
      </c>
      <c r="H54" s="55"/>
      <c r="I54" s="55">
        <v>45173</v>
      </c>
      <c r="J54" s="67">
        <v>25462.19</v>
      </c>
      <c r="K54" s="57">
        <f t="shared" si="2"/>
        <v>167.45980861935232</v>
      </c>
      <c r="L54" s="57">
        <f t="shared" si="3"/>
        <v>56.365948686162085</v>
      </c>
    </row>
    <row r="55" spans="2:12" x14ac:dyDescent="0.25">
      <c r="B55" s="6"/>
      <c r="C55" s="6"/>
      <c r="D55" s="6"/>
      <c r="E55" s="6">
        <v>3221</v>
      </c>
      <c r="F55" s="6" t="s">
        <v>164</v>
      </c>
      <c r="G55" s="55">
        <f>19414.93/7.5345</f>
        <v>2576.8040347733759</v>
      </c>
      <c r="H55" s="55"/>
      <c r="I55" s="55">
        <v>7207</v>
      </c>
      <c r="J55" s="67">
        <v>4298.71</v>
      </c>
      <c r="K55" s="57">
        <f t="shared" si="2"/>
        <v>166.82331842041151</v>
      </c>
      <c r="L55" s="57">
        <f t="shared" si="3"/>
        <v>59.646316081587344</v>
      </c>
    </row>
    <row r="56" spans="2:12" x14ac:dyDescent="0.25">
      <c r="B56" s="6"/>
      <c r="C56" s="6"/>
      <c r="D56" s="6"/>
      <c r="E56" s="6">
        <v>3223</v>
      </c>
      <c r="F56" s="6" t="s">
        <v>165</v>
      </c>
      <c r="G56" s="55">
        <f>86964.31/7.5345</f>
        <v>11542.147455040147</v>
      </c>
      <c r="H56" s="55"/>
      <c r="I56" s="55">
        <v>31064</v>
      </c>
      <c r="J56" s="67">
        <v>16554.810000000001</v>
      </c>
      <c r="K56" s="57">
        <f t="shared" si="2"/>
        <v>143.42920210026392</v>
      </c>
      <c r="L56" s="57">
        <f t="shared" si="3"/>
        <v>53.292589492660312</v>
      </c>
    </row>
    <row r="57" spans="2:12" x14ac:dyDescent="0.25">
      <c r="B57" s="6"/>
      <c r="C57" s="6"/>
      <c r="D57" s="6"/>
      <c r="E57" s="6">
        <v>3224</v>
      </c>
      <c r="F57" s="6" t="s">
        <v>166</v>
      </c>
      <c r="G57" s="55">
        <f>3466/7.5345</f>
        <v>460.01725396509386</v>
      </c>
      <c r="H57" s="55"/>
      <c r="I57" s="55">
        <v>6106</v>
      </c>
      <c r="J57" s="67">
        <v>4413.8599999999997</v>
      </c>
      <c r="K57" s="57">
        <f t="shared" si="2"/>
        <v>959.49879313329484</v>
      </c>
      <c r="L57" s="57">
        <f t="shared" si="3"/>
        <v>72.287258434326887</v>
      </c>
    </row>
    <row r="58" spans="2:12" x14ac:dyDescent="0.25">
      <c r="B58" s="6"/>
      <c r="C58" s="6"/>
      <c r="D58" s="6"/>
      <c r="E58" s="6">
        <v>3225</v>
      </c>
      <c r="F58" s="6" t="s">
        <v>167</v>
      </c>
      <c r="G58" s="55">
        <f>4716.5/7.5345</f>
        <v>625.98712588758372</v>
      </c>
      <c r="H58" s="55"/>
      <c r="I58" s="55">
        <v>796</v>
      </c>
      <c r="J58" s="67">
        <v>194.81</v>
      </c>
      <c r="K58" s="57">
        <f t="shared" si="2"/>
        <v>31.120448319728617</v>
      </c>
      <c r="L58" s="57">
        <f t="shared" si="3"/>
        <v>24.473618090452263</v>
      </c>
    </row>
    <row r="59" spans="2:12" x14ac:dyDescent="0.25">
      <c r="B59" s="6"/>
      <c r="C59" s="6"/>
      <c r="D59" s="6">
        <v>323</v>
      </c>
      <c r="E59" s="6"/>
      <c r="F59" s="6" t="s">
        <v>168</v>
      </c>
      <c r="G59" s="55">
        <f>125276.25/7.5345</f>
        <v>16627.015727652797</v>
      </c>
      <c r="H59" s="55"/>
      <c r="I59" s="55">
        <v>100967</v>
      </c>
      <c r="J59" s="67">
        <v>28335.11</v>
      </c>
      <c r="K59" s="57">
        <f t="shared" si="2"/>
        <v>170.41608947825307</v>
      </c>
      <c r="L59" s="57">
        <f t="shared" si="3"/>
        <v>28.063733695167731</v>
      </c>
    </row>
    <row r="60" spans="2:12" x14ac:dyDescent="0.25">
      <c r="B60" s="6"/>
      <c r="C60" s="6"/>
      <c r="D60" s="6"/>
      <c r="E60" s="6">
        <v>3231</v>
      </c>
      <c r="F60" s="6" t="s">
        <v>169</v>
      </c>
      <c r="G60" s="55">
        <f>16641.92/7.5345</f>
        <v>2208.7623598115333</v>
      </c>
      <c r="H60" s="55"/>
      <c r="I60" s="55">
        <v>5387</v>
      </c>
      <c r="J60" s="67">
        <v>2364.11</v>
      </c>
      <c r="K60" s="57">
        <f t="shared" si="2"/>
        <v>107.03324373029075</v>
      </c>
      <c r="L60" s="57">
        <f t="shared" si="3"/>
        <v>43.885465008353449</v>
      </c>
    </row>
    <row r="61" spans="2:12" x14ac:dyDescent="0.25">
      <c r="B61" s="6"/>
      <c r="C61" s="6"/>
      <c r="D61" s="6"/>
      <c r="E61" s="6">
        <v>3232</v>
      </c>
      <c r="F61" s="6" t="s">
        <v>170</v>
      </c>
      <c r="G61" s="55">
        <f>10426.91/7.5345</f>
        <v>1383.8887782865484</v>
      </c>
      <c r="H61" s="55"/>
      <c r="I61" s="55">
        <v>16720</v>
      </c>
      <c r="J61" s="67">
        <v>3606.03</v>
      </c>
      <c r="K61" s="57">
        <f t="shared" si="2"/>
        <v>260.57224081726997</v>
      </c>
      <c r="L61" s="57">
        <f t="shared" si="3"/>
        <v>21.567165071770336</v>
      </c>
    </row>
    <row r="62" spans="2:12" x14ac:dyDescent="0.25">
      <c r="B62" s="6"/>
      <c r="C62" s="6"/>
      <c r="D62" s="6"/>
      <c r="E62" s="6">
        <v>3233</v>
      </c>
      <c r="F62" s="6" t="s">
        <v>171</v>
      </c>
      <c r="G62" s="55">
        <v>0</v>
      </c>
      <c r="H62" s="55"/>
      <c r="I62" s="55">
        <v>2654</v>
      </c>
      <c r="J62" s="67">
        <v>0</v>
      </c>
      <c r="K62" s="57"/>
      <c r="L62" s="57">
        <f t="shared" si="3"/>
        <v>0</v>
      </c>
    </row>
    <row r="63" spans="2:12" x14ac:dyDescent="0.25">
      <c r="B63" s="6"/>
      <c r="C63" s="6"/>
      <c r="D63" s="6"/>
      <c r="E63" s="6">
        <v>3234</v>
      </c>
      <c r="F63" s="6" t="s">
        <v>172</v>
      </c>
      <c r="G63" s="55">
        <f>12930.45/7.5345</f>
        <v>1716.1656380649015</v>
      </c>
      <c r="H63" s="55"/>
      <c r="I63" s="55">
        <v>5999</v>
      </c>
      <c r="J63" s="67">
        <v>2055.7399999999998</v>
      </c>
      <c r="K63" s="57">
        <f t="shared" si="2"/>
        <v>119.78680579562196</v>
      </c>
      <c r="L63" s="57">
        <f t="shared" si="3"/>
        <v>34.268044674112346</v>
      </c>
    </row>
    <row r="64" spans="2:12" x14ac:dyDescent="0.25">
      <c r="B64" s="6"/>
      <c r="C64" s="6"/>
      <c r="D64" s="6"/>
      <c r="E64" s="6">
        <v>3235</v>
      </c>
      <c r="F64" s="6" t="s">
        <v>173</v>
      </c>
      <c r="G64" s="55">
        <f>1522.5/7.5345</f>
        <v>202.07047581126815</v>
      </c>
      <c r="H64" s="55"/>
      <c r="I64" s="55">
        <v>1499</v>
      </c>
      <c r="J64" s="67">
        <v>266</v>
      </c>
      <c r="K64" s="57">
        <f t="shared" si="2"/>
        <v>131.63724137931035</v>
      </c>
      <c r="L64" s="57">
        <f t="shared" si="3"/>
        <v>17.745163442294864</v>
      </c>
    </row>
    <row r="65" spans="2:12" x14ac:dyDescent="0.25">
      <c r="B65" s="6"/>
      <c r="C65" s="6"/>
      <c r="D65" s="6"/>
      <c r="E65" s="6">
        <v>3236</v>
      </c>
      <c r="F65" s="6" t="s">
        <v>174</v>
      </c>
      <c r="G65" s="55">
        <f>250/7.5345</f>
        <v>33.180702103656515</v>
      </c>
      <c r="H65" s="55"/>
      <c r="I65" s="55">
        <v>2668</v>
      </c>
      <c r="J65" s="67">
        <v>1911.21</v>
      </c>
      <c r="K65" s="57">
        <f t="shared" si="2"/>
        <v>5760.0046980000006</v>
      </c>
      <c r="L65" s="57">
        <f t="shared" si="3"/>
        <v>71.63455772113943</v>
      </c>
    </row>
    <row r="66" spans="2:12" x14ac:dyDescent="0.25">
      <c r="B66" s="6"/>
      <c r="C66" s="6"/>
      <c r="D66" s="6"/>
      <c r="E66" s="6">
        <v>3237</v>
      </c>
      <c r="F66" s="6" t="s">
        <v>175</v>
      </c>
      <c r="G66" s="55">
        <f>41323.56/7.5345</f>
        <v>5484.5789368903042</v>
      </c>
      <c r="H66" s="55"/>
      <c r="I66" s="55">
        <v>33285</v>
      </c>
      <c r="J66" s="67">
        <v>10521.87</v>
      </c>
      <c r="K66" s="57">
        <f t="shared" si="2"/>
        <v>191.84462692710892</v>
      </c>
      <c r="L66" s="57">
        <f t="shared" si="3"/>
        <v>31.611446597566474</v>
      </c>
    </row>
    <row r="67" spans="2:12" x14ac:dyDescent="0.25">
      <c r="B67" s="6"/>
      <c r="C67" s="6"/>
      <c r="D67" s="6"/>
      <c r="E67" s="6">
        <v>3238</v>
      </c>
      <c r="F67" s="6" t="s">
        <v>176</v>
      </c>
      <c r="G67" s="55">
        <f>7128.76/7.5345</f>
        <v>946.14904771384965</v>
      </c>
      <c r="H67" s="55"/>
      <c r="I67" s="55">
        <v>3786</v>
      </c>
      <c r="J67" s="67">
        <v>1897.58</v>
      </c>
      <c r="K67" s="57">
        <f t="shared" si="2"/>
        <v>200.55825290793911</v>
      </c>
      <c r="L67" s="57">
        <f t="shared" si="3"/>
        <v>50.120972002113049</v>
      </c>
    </row>
    <row r="68" spans="2:12" x14ac:dyDescent="0.25">
      <c r="B68" s="6"/>
      <c r="C68" s="6"/>
      <c r="D68" s="6"/>
      <c r="E68" s="6">
        <v>3239</v>
      </c>
      <c r="F68" s="6" t="s">
        <v>177</v>
      </c>
      <c r="G68" s="55">
        <f>35052.15/7.5345</f>
        <v>4652.219788970735</v>
      </c>
      <c r="H68" s="55"/>
      <c r="I68" s="55">
        <v>28969</v>
      </c>
      <c r="J68" s="67">
        <v>5712.57</v>
      </c>
      <c r="K68" s="57">
        <f t="shared" si="2"/>
        <v>122.79234987012207</v>
      </c>
      <c r="L68" s="57">
        <f t="shared" si="3"/>
        <v>19.719596810383514</v>
      </c>
    </row>
    <row r="69" spans="2:12" x14ac:dyDescent="0.25">
      <c r="B69" s="6"/>
      <c r="C69" s="6"/>
      <c r="D69" s="6">
        <v>324</v>
      </c>
      <c r="E69" s="6"/>
      <c r="F69" s="6" t="s">
        <v>178</v>
      </c>
      <c r="G69" s="55">
        <f>11885.01/7.5345</f>
        <v>1577.4119052359147</v>
      </c>
      <c r="H69" s="55"/>
      <c r="I69" s="55">
        <v>5750</v>
      </c>
      <c r="J69" s="67">
        <v>99.18</v>
      </c>
      <c r="K69" s="57">
        <f t="shared" si="2"/>
        <v>6.2875143563194316</v>
      </c>
      <c r="L69" s="57">
        <f t="shared" si="3"/>
        <v>1.7248695652173913</v>
      </c>
    </row>
    <row r="70" spans="2:12" x14ac:dyDescent="0.25">
      <c r="B70" s="6"/>
      <c r="C70" s="6"/>
      <c r="D70" s="6"/>
      <c r="E70" s="6">
        <v>3241</v>
      </c>
      <c r="F70" s="6" t="s">
        <v>178</v>
      </c>
      <c r="G70" s="55">
        <v>1577.41</v>
      </c>
      <c r="H70" s="55"/>
      <c r="I70" s="55">
        <v>5750</v>
      </c>
      <c r="J70" s="67">
        <v>99.18</v>
      </c>
      <c r="K70" s="57">
        <f t="shared" si="2"/>
        <v>6.2875219505391753</v>
      </c>
      <c r="L70" s="57">
        <f t="shared" si="3"/>
        <v>1.7248695652173913</v>
      </c>
    </row>
    <row r="71" spans="2:12" x14ac:dyDescent="0.25">
      <c r="B71" s="6"/>
      <c r="C71" s="6"/>
      <c r="D71" s="6">
        <v>329</v>
      </c>
      <c r="E71" s="6"/>
      <c r="F71" s="6" t="s">
        <v>179</v>
      </c>
      <c r="G71" s="55">
        <f>44561.43/7.5345</f>
        <v>5914.3181365717692</v>
      </c>
      <c r="H71" s="55"/>
      <c r="I71" s="55">
        <v>13126</v>
      </c>
      <c r="J71" s="67">
        <v>4828.96</v>
      </c>
      <c r="K71" s="57">
        <f t="shared" si="2"/>
        <v>81.648634525418061</v>
      </c>
      <c r="L71" s="57">
        <f t="shared" si="3"/>
        <v>36.789273198232515</v>
      </c>
    </row>
    <row r="72" spans="2:12" x14ac:dyDescent="0.25">
      <c r="B72" s="6"/>
      <c r="C72" s="6"/>
      <c r="D72" s="6"/>
      <c r="E72" s="6">
        <v>3292</v>
      </c>
      <c r="F72" s="6" t="s">
        <v>180</v>
      </c>
      <c r="G72" s="55">
        <f>31978.61/7.5345</f>
        <v>4244.2909283960444</v>
      </c>
      <c r="H72" s="55"/>
      <c r="I72" s="55">
        <v>9691</v>
      </c>
      <c r="J72" s="67">
        <v>4015.92</v>
      </c>
      <c r="K72" s="57">
        <f t="shared" si="2"/>
        <v>94.619338489071296</v>
      </c>
      <c r="L72" s="57">
        <f t="shared" si="3"/>
        <v>41.43968630688267</v>
      </c>
    </row>
    <row r="73" spans="2:12" x14ac:dyDescent="0.25">
      <c r="B73" s="6"/>
      <c r="C73" s="6"/>
      <c r="D73" s="6"/>
      <c r="E73" s="6">
        <v>3293</v>
      </c>
      <c r="F73" s="6" t="s">
        <v>181</v>
      </c>
      <c r="G73" s="55">
        <f>5487.82/7.5345</f>
        <v>728.35888247395303</v>
      </c>
      <c r="H73" s="55"/>
      <c r="I73" s="55">
        <v>1779</v>
      </c>
      <c r="J73" s="67">
        <v>577.44000000000005</v>
      </c>
      <c r="K73" s="57">
        <f t="shared" si="2"/>
        <v>79.27959882066105</v>
      </c>
      <c r="L73" s="57">
        <f t="shared" si="3"/>
        <v>32.458684654300171</v>
      </c>
    </row>
    <row r="74" spans="2:12" x14ac:dyDescent="0.25">
      <c r="B74" s="6"/>
      <c r="C74" s="6"/>
      <c r="D74" s="6"/>
      <c r="E74" s="6">
        <v>3295</v>
      </c>
      <c r="F74" s="6" t="s">
        <v>182</v>
      </c>
      <c r="G74" s="55">
        <f>7095/7.5345</f>
        <v>941.66832570177178</v>
      </c>
      <c r="H74" s="55"/>
      <c r="I74" s="55">
        <v>1656</v>
      </c>
      <c r="J74" s="67">
        <v>235.6</v>
      </c>
      <c r="K74" s="57">
        <f t="shared" si="2"/>
        <v>25.019424947145879</v>
      </c>
      <c r="L74" s="57">
        <f t="shared" si="3"/>
        <v>14.227053140096618</v>
      </c>
    </row>
    <row r="75" spans="2:12" x14ac:dyDescent="0.25">
      <c r="B75" s="6"/>
      <c r="C75" s="6">
        <v>34</v>
      </c>
      <c r="D75" s="6"/>
      <c r="E75" s="6"/>
      <c r="F75" s="6" t="s">
        <v>183</v>
      </c>
      <c r="G75" s="55">
        <f>1134.95/7.5345</f>
        <v>150.63375141017983</v>
      </c>
      <c r="H75" s="55"/>
      <c r="I75" s="55">
        <v>265</v>
      </c>
      <c r="J75" s="67">
        <v>117.78</v>
      </c>
      <c r="K75" s="57">
        <f t="shared" si="2"/>
        <v>78.189648002114637</v>
      </c>
      <c r="L75" s="57">
        <f t="shared" si="3"/>
        <v>44.445283018867926</v>
      </c>
    </row>
    <row r="76" spans="2:12" x14ac:dyDescent="0.25">
      <c r="B76" s="6"/>
      <c r="C76" s="6"/>
      <c r="D76" s="6">
        <v>342</v>
      </c>
      <c r="E76" s="6"/>
      <c r="F76" s="6" t="s">
        <v>184</v>
      </c>
      <c r="G76" s="55">
        <f>621.19/7.5345</f>
        <v>82.44608135908156</v>
      </c>
      <c r="H76" s="55"/>
      <c r="I76" s="55">
        <v>5</v>
      </c>
      <c r="J76" s="67">
        <v>5</v>
      </c>
      <c r="K76" s="57">
        <f t="shared" si="2"/>
        <v>6.0645696163814611</v>
      </c>
      <c r="L76" s="57">
        <f t="shared" si="3"/>
        <v>100</v>
      </c>
    </row>
    <row r="77" spans="2:12" s="62" customFormat="1" ht="25.5" x14ac:dyDescent="0.25">
      <c r="B77" s="26"/>
      <c r="C77" s="26"/>
      <c r="D77" s="26"/>
      <c r="E77" s="26">
        <v>3423</v>
      </c>
      <c r="F77" s="26" t="s">
        <v>185</v>
      </c>
      <c r="G77" s="56">
        <v>82.45</v>
      </c>
      <c r="H77" s="56"/>
      <c r="I77" s="56">
        <v>5</v>
      </c>
      <c r="J77" s="67">
        <v>5</v>
      </c>
      <c r="K77" s="57">
        <f t="shared" si="2"/>
        <v>6.064281382656155</v>
      </c>
      <c r="L77" s="57">
        <f t="shared" si="3"/>
        <v>100</v>
      </c>
    </row>
    <row r="78" spans="2:12" x14ac:dyDescent="0.25">
      <c r="B78" s="6"/>
      <c r="C78" s="6"/>
      <c r="D78" s="6">
        <v>343</v>
      </c>
      <c r="E78" s="6"/>
      <c r="F78" s="6" t="s">
        <v>186</v>
      </c>
      <c r="G78" s="55">
        <f>513.76/7.5345</f>
        <v>68.18767005109828</v>
      </c>
      <c r="H78" s="55"/>
      <c r="I78" s="55">
        <v>260</v>
      </c>
      <c r="J78" s="67">
        <v>112.78</v>
      </c>
      <c r="K78" s="57">
        <f t="shared" si="2"/>
        <v>165.39647111491746</v>
      </c>
      <c r="L78" s="57">
        <f t="shared" si="3"/>
        <v>43.376923076923077</v>
      </c>
    </row>
    <row r="79" spans="2:12" s="62" customFormat="1" ht="25.5" x14ac:dyDescent="0.25">
      <c r="B79" s="26"/>
      <c r="C79" s="26"/>
      <c r="D79" s="26"/>
      <c r="E79" s="26">
        <v>3432</v>
      </c>
      <c r="F79" s="26" t="s">
        <v>187</v>
      </c>
      <c r="G79" s="56">
        <v>0</v>
      </c>
      <c r="H79" s="56"/>
      <c r="I79" s="56">
        <v>0</v>
      </c>
      <c r="J79" s="67">
        <v>0</v>
      </c>
      <c r="K79" s="57"/>
      <c r="L79" s="57"/>
    </row>
    <row r="80" spans="2:12" s="62" customFormat="1" x14ac:dyDescent="0.25">
      <c r="B80" s="26"/>
      <c r="C80" s="26"/>
      <c r="D80" s="26"/>
      <c r="E80" s="26">
        <v>3433</v>
      </c>
      <c r="F80" s="26" t="s">
        <v>188</v>
      </c>
      <c r="G80" s="56">
        <f>513.76/7.5345</f>
        <v>68.18767005109828</v>
      </c>
      <c r="H80" s="56"/>
      <c r="I80" s="56">
        <v>260</v>
      </c>
      <c r="J80" s="67">
        <v>112.78</v>
      </c>
      <c r="K80" s="57">
        <f t="shared" si="2"/>
        <v>165.39647111491746</v>
      </c>
      <c r="L80" s="57">
        <f t="shared" si="3"/>
        <v>43.376923076923077</v>
      </c>
    </row>
    <row r="81" spans="2:12" s="62" customFormat="1" x14ac:dyDescent="0.25">
      <c r="B81" s="80"/>
      <c r="C81" s="80"/>
      <c r="D81" s="80"/>
      <c r="E81" s="80"/>
      <c r="F81" s="80"/>
      <c r="G81" s="81"/>
      <c r="H81" s="81"/>
      <c r="I81" s="81"/>
      <c r="J81" s="82"/>
      <c r="K81" s="83"/>
      <c r="L81" s="83"/>
    </row>
    <row r="82" spans="2:12" s="62" customFormat="1" x14ac:dyDescent="0.25">
      <c r="B82" s="84"/>
      <c r="C82" s="84"/>
      <c r="D82" s="84"/>
      <c r="E82" s="84"/>
      <c r="F82" s="84"/>
      <c r="G82" s="85"/>
      <c r="H82" s="85"/>
      <c r="I82" s="85"/>
      <c r="J82" s="86"/>
      <c r="K82" s="87"/>
      <c r="L82" s="87"/>
    </row>
    <row r="83" spans="2:12" s="62" customFormat="1" x14ac:dyDescent="0.25">
      <c r="B83" s="84"/>
      <c r="C83" s="84"/>
      <c r="D83" s="84"/>
      <c r="E83" s="84"/>
      <c r="F83" s="84"/>
      <c r="G83" s="85"/>
      <c r="H83" s="85"/>
      <c r="I83" s="85"/>
      <c r="J83" s="86"/>
      <c r="K83" s="87"/>
      <c r="L83" s="87"/>
    </row>
    <row r="84" spans="2:12" s="62" customFormat="1" x14ac:dyDescent="0.25">
      <c r="B84" s="84"/>
      <c r="C84" s="84"/>
      <c r="D84" s="84"/>
      <c r="E84" s="84"/>
      <c r="F84" s="84"/>
      <c r="G84" s="85"/>
      <c r="H84" s="85"/>
      <c r="I84" s="85"/>
      <c r="J84" s="86"/>
      <c r="K84" s="87"/>
      <c r="L84" s="87"/>
    </row>
    <row r="85" spans="2:12" x14ac:dyDescent="0.25">
      <c r="B85" s="8">
        <v>4</v>
      </c>
      <c r="C85" s="8"/>
      <c r="D85" s="8"/>
      <c r="E85" s="8"/>
      <c r="F85" s="19" t="s">
        <v>5</v>
      </c>
      <c r="G85" s="58">
        <f>47077/7.5345</f>
        <v>6248.1916517353502</v>
      </c>
      <c r="H85" s="58"/>
      <c r="I85" s="58">
        <v>77290</v>
      </c>
      <c r="J85" s="68">
        <v>6118.52</v>
      </c>
      <c r="K85" s="59">
        <f t="shared" si="2"/>
        <v>97.92465310024005</v>
      </c>
      <c r="L85" s="59">
        <f t="shared" si="3"/>
        <v>7.9163151766075828</v>
      </c>
    </row>
    <row r="86" spans="2:12" x14ac:dyDescent="0.25">
      <c r="B86" s="9"/>
      <c r="C86" s="9">
        <v>42</v>
      </c>
      <c r="D86" s="9"/>
      <c r="E86" s="9"/>
      <c r="F86" s="20" t="s">
        <v>189</v>
      </c>
      <c r="G86" s="55">
        <v>6248.19</v>
      </c>
      <c r="H86" s="55"/>
      <c r="I86" s="56">
        <v>10928</v>
      </c>
      <c r="J86" s="67">
        <v>6118.52</v>
      </c>
      <c r="K86" s="57">
        <f t="shared" si="2"/>
        <v>97.924678987034667</v>
      </c>
      <c r="L86" s="57">
        <f t="shared" si="3"/>
        <v>55.989385065885799</v>
      </c>
    </row>
    <row r="87" spans="2:12" x14ac:dyDescent="0.25">
      <c r="B87" s="9"/>
      <c r="C87" s="9"/>
      <c r="D87" s="6">
        <v>422</v>
      </c>
      <c r="E87" s="6"/>
      <c r="F87" s="6" t="s">
        <v>190</v>
      </c>
      <c r="G87" s="55">
        <f>17152/7.5345</f>
        <v>2276.4616099276659</v>
      </c>
      <c r="H87" s="55"/>
      <c r="I87" s="56">
        <v>6774</v>
      </c>
      <c r="J87" s="67">
        <v>5652.52</v>
      </c>
      <c r="K87" s="57">
        <f t="shared" si="2"/>
        <v>248.3028914412314</v>
      </c>
      <c r="L87" s="57">
        <f t="shared" si="3"/>
        <v>83.444346028934163</v>
      </c>
    </row>
    <row r="88" spans="2:12" x14ac:dyDescent="0.25">
      <c r="B88" s="9"/>
      <c r="C88" s="9"/>
      <c r="D88" s="6"/>
      <c r="E88" s="6">
        <v>4221</v>
      </c>
      <c r="F88" s="6" t="s">
        <v>191</v>
      </c>
      <c r="G88" s="55">
        <v>0</v>
      </c>
      <c r="H88" s="55"/>
      <c r="I88" s="56">
        <v>4021</v>
      </c>
      <c r="J88" s="67">
        <v>3573.76</v>
      </c>
      <c r="K88" s="57"/>
      <c r="L88" s="57">
        <f t="shared" si="3"/>
        <v>88.87739368316339</v>
      </c>
    </row>
    <row r="89" spans="2:12" x14ac:dyDescent="0.25">
      <c r="B89" s="9"/>
      <c r="C89" s="9"/>
      <c r="D89" s="6"/>
      <c r="E89" s="6">
        <v>4223</v>
      </c>
      <c r="F89" s="6" t="s">
        <v>192</v>
      </c>
      <c r="G89" s="55">
        <f>15024/7.5345</f>
        <v>1994.0274736213416</v>
      </c>
      <c r="H89" s="55"/>
      <c r="I89" s="56">
        <v>0</v>
      </c>
      <c r="J89" s="67">
        <v>0</v>
      </c>
      <c r="K89" s="57">
        <f t="shared" si="2"/>
        <v>0</v>
      </c>
      <c r="L89" s="57"/>
    </row>
    <row r="90" spans="2:12" x14ac:dyDescent="0.25">
      <c r="B90" s="9"/>
      <c r="C90" s="9"/>
      <c r="D90" s="6"/>
      <c r="E90" s="6">
        <v>4227</v>
      </c>
      <c r="F90" s="6" t="s">
        <v>193</v>
      </c>
      <c r="G90" s="55">
        <f>2128/7.5345</f>
        <v>282.43413630632421</v>
      </c>
      <c r="H90" s="55"/>
      <c r="I90" s="56">
        <v>2753</v>
      </c>
      <c r="J90" s="67">
        <v>2078.7600000000002</v>
      </c>
      <c r="K90" s="57">
        <f t="shared" si="2"/>
        <v>736.01584680451151</v>
      </c>
      <c r="L90" s="57">
        <f t="shared" si="3"/>
        <v>75.508899382491833</v>
      </c>
    </row>
    <row r="91" spans="2:12" x14ac:dyDescent="0.25">
      <c r="B91" s="9"/>
      <c r="C91" s="9"/>
      <c r="D91" s="6">
        <v>424</v>
      </c>
      <c r="E91" s="6"/>
      <c r="F91" s="6" t="s">
        <v>194</v>
      </c>
      <c r="G91" s="55">
        <f>29925/7.5345</f>
        <v>3971.7300418076843</v>
      </c>
      <c r="H91" s="55"/>
      <c r="I91" s="56">
        <v>4154</v>
      </c>
      <c r="J91" s="67">
        <v>466</v>
      </c>
      <c r="K91" s="57">
        <f t="shared" si="2"/>
        <v>11.732922305764411</v>
      </c>
      <c r="L91" s="57">
        <f t="shared" si="3"/>
        <v>11.218103033220991</v>
      </c>
    </row>
    <row r="92" spans="2:12" x14ac:dyDescent="0.25">
      <c r="B92" s="9"/>
      <c r="C92" s="9"/>
      <c r="D92" s="6"/>
      <c r="E92" s="6">
        <v>4243</v>
      </c>
      <c r="F92" s="6" t="s">
        <v>195</v>
      </c>
      <c r="G92" s="55">
        <v>3971.73</v>
      </c>
      <c r="H92" s="55"/>
      <c r="I92" s="56">
        <v>4154</v>
      </c>
      <c r="J92" s="67">
        <v>466</v>
      </c>
      <c r="K92" s="57">
        <f t="shared" si="2"/>
        <v>11.732922429268857</v>
      </c>
      <c r="L92" s="57">
        <f t="shared" si="3"/>
        <v>11.218103033220991</v>
      </c>
    </row>
    <row r="93" spans="2:12" x14ac:dyDescent="0.25">
      <c r="B93" s="9"/>
      <c r="C93" s="9"/>
      <c r="D93" s="6">
        <v>426</v>
      </c>
      <c r="E93" s="6"/>
      <c r="F93" s="6" t="s">
        <v>196</v>
      </c>
      <c r="G93" s="55">
        <v>0</v>
      </c>
      <c r="H93" s="55"/>
      <c r="I93" s="56">
        <v>0</v>
      </c>
      <c r="J93" s="67">
        <v>0</v>
      </c>
      <c r="K93" s="57"/>
      <c r="L93" s="57"/>
    </row>
    <row r="94" spans="2:12" x14ac:dyDescent="0.25">
      <c r="B94" s="9"/>
      <c r="C94" s="9"/>
      <c r="D94" s="6"/>
      <c r="E94" s="6">
        <v>4262</v>
      </c>
      <c r="F94" s="6" t="s">
        <v>197</v>
      </c>
      <c r="G94" s="55">
        <v>0</v>
      </c>
      <c r="H94" s="55"/>
      <c r="I94" s="56">
        <v>0</v>
      </c>
      <c r="J94" s="67">
        <v>0</v>
      </c>
      <c r="K94" s="57"/>
      <c r="L94" s="57"/>
    </row>
    <row r="95" spans="2:12" s="62" customFormat="1" ht="25.5" x14ac:dyDescent="0.25">
      <c r="B95" s="9"/>
      <c r="C95" s="9">
        <v>45</v>
      </c>
      <c r="D95" s="26"/>
      <c r="E95" s="26"/>
      <c r="F95" s="26" t="s">
        <v>198</v>
      </c>
      <c r="G95" s="56">
        <v>0</v>
      </c>
      <c r="H95" s="56"/>
      <c r="I95" s="56">
        <v>66362</v>
      </c>
      <c r="J95" s="67">
        <v>0</v>
      </c>
      <c r="K95" s="57"/>
      <c r="L95" s="57">
        <f t="shared" si="3"/>
        <v>0</v>
      </c>
    </row>
    <row r="96" spans="2:12" x14ac:dyDescent="0.25">
      <c r="B96" s="9"/>
      <c r="C96" s="9"/>
      <c r="D96" s="6">
        <v>452</v>
      </c>
      <c r="E96" s="6"/>
      <c r="F96" s="6" t="s">
        <v>199</v>
      </c>
      <c r="G96" s="55">
        <v>0</v>
      </c>
      <c r="H96" s="55"/>
      <c r="I96" s="56">
        <v>66362</v>
      </c>
      <c r="J96" s="67">
        <v>0</v>
      </c>
      <c r="K96" s="57"/>
      <c r="L96" s="57">
        <f t="shared" si="3"/>
        <v>0</v>
      </c>
    </row>
    <row r="97" spans="2:12" x14ac:dyDescent="0.25">
      <c r="B97" s="9"/>
      <c r="C97" s="9"/>
      <c r="D97" s="6"/>
      <c r="E97" s="6">
        <v>4521</v>
      </c>
      <c r="F97" s="6" t="s">
        <v>199</v>
      </c>
      <c r="G97" s="55">
        <v>0</v>
      </c>
      <c r="H97" s="55"/>
      <c r="I97" s="56">
        <v>66362</v>
      </c>
      <c r="J97" s="67">
        <v>0</v>
      </c>
      <c r="K97" s="57"/>
      <c r="L97" s="57">
        <f t="shared" si="3"/>
        <v>0</v>
      </c>
    </row>
  </sheetData>
  <mergeCells count="7">
    <mergeCell ref="B8:F8"/>
    <mergeCell ref="B9:F9"/>
    <mergeCell ref="B37:F37"/>
    <mergeCell ref="B38:F38"/>
    <mergeCell ref="B2:L2"/>
    <mergeCell ref="B4:L4"/>
    <mergeCell ref="B6:L6"/>
  </mergeCell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40"/>
  <sheetViews>
    <sheetView workbookViewId="0">
      <selection activeCell="B2" sqref="B2:H2"/>
    </sheetView>
  </sheetViews>
  <sheetFormatPr defaultRowHeight="15" x14ac:dyDescent="0.25"/>
  <cols>
    <col min="2" max="2" width="37.7109375" customWidth="1"/>
    <col min="3" max="3" width="25.28515625" customWidth="1"/>
    <col min="4" max="4" width="25.28515625" hidden="1" customWidth="1"/>
    <col min="5" max="6" width="25.28515625" customWidth="1"/>
    <col min="7" max="7" width="14.140625" customWidth="1"/>
    <col min="8" max="8" width="12.7109375" customWidth="1"/>
    <col min="10" max="10" width="10.140625" bestFit="1" customWidth="1"/>
  </cols>
  <sheetData>
    <row r="1" spans="2:10" ht="18" x14ac:dyDescent="0.25">
      <c r="B1" s="2"/>
      <c r="C1" s="2"/>
      <c r="D1" s="2"/>
      <c r="E1" s="2"/>
      <c r="F1" s="3"/>
      <c r="G1" s="3"/>
      <c r="H1" s="3"/>
    </row>
    <row r="2" spans="2:10" ht="15.75" customHeight="1" x14ac:dyDescent="0.25">
      <c r="B2" s="112" t="s">
        <v>34</v>
      </c>
      <c r="C2" s="112"/>
      <c r="D2" s="112"/>
      <c r="E2" s="112"/>
      <c r="F2" s="112"/>
      <c r="G2" s="112"/>
      <c r="H2" s="112"/>
    </row>
    <row r="3" spans="2:10" ht="18" x14ac:dyDescent="0.25">
      <c r="B3" s="2"/>
      <c r="C3" s="2"/>
      <c r="D3" s="2"/>
      <c r="E3" s="2"/>
      <c r="F3" s="3"/>
      <c r="G3" s="3"/>
      <c r="H3" s="3"/>
    </row>
    <row r="4" spans="2:10" ht="25.5" x14ac:dyDescent="0.25">
      <c r="B4" s="36" t="s">
        <v>6</v>
      </c>
      <c r="C4" s="36" t="s">
        <v>55</v>
      </c>
      <c r="D4" s="36" t="s">
        <v>45</v>
      </c>
      <c r="E4" s="36" t="s">
        <v>42</v>
      </c>
      <c r="F4" s="36" t="s">
        <v>56</v>
      </c>
      <c r="G4" s="36" t="s">
        <v>15</v>
      </c>
      <c r="H4" s="36" t="s">
        <v>43</v>
      </c>
    </row>
    <row r="5" spans="2:10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17</v>
      </c>
      <c r="H5" s="36" t="s">
        <v>18</v>
      </c>
    </row>
    <row r="6" spans="2:10" x14ac:dyDescent="0.25">
      <c r="B6" s="5" t="s">
        <v>33</v>
      </c>
      <c r="C6" s="58">
        <f>2171068.34/7.5345</f>
        <v>288150.28734488017</v>
      </c>
      <c r="D6" s="58"/>
      <c r="E6" s="64">
        <v>693853</v>
      </c>
      <c r="F6" s="68">
        <v>323332.71999999997</v>
      </c>
      <c r="G6" s="59">
        <f>F6/C6*100</f>
        <v>112.20975102239296</v>
      </c>
      <c r="H6" s="59">
        <f>F6/E6*100</f>
        <v>46.599599627010328</v>
      </c>
    </row>
    <row r="7" spans="2:10" x14ac:dyDescent="0.25">
      <c r="B7" s="5" t="s">
        <v>31</v>
      </c>
      <c r="C7" s="58">
        <v>243759.07</v>
      </c>
      <c r="D7" s="58"/>
      <c r="E7" s="58">
        <v>560650</v>
      </c>
      <c r="F7" s="68">
        <v>282062.23</v>
      </c>
      <c r="G7" s="59">
        <f t="shared" ref="G7:G16" si="0">F7/C7*100</f>
        <v>115.71353221851395</v>
      </c>
      <c r="H7" s="59">
        <f t="shared" ref="H7:H19" si="1">F7/E7*100</f>
        <v>50.309859983947206</v>
      </c>
    </row>
    <row r="8" spans="2:10" x14ac:dyDescent="0.25">
      <c r="B8" s="29" t="s">
        <v>30</v>
      </c>
      <c r="C8" s="55">
        <f>1836602.73/7.5345</f>
        <v>243759.07226756916</v>
      </c>
      <c r="D8" s="55"/>
      <c r="E8" s="55">
        <v>560650</v>
      </c>
      <c r="F8" s="67">
        <v>282062.23</v>
      </c>
      <c r="G8" s="57">
        <f t="shared" si="0"/>
        <v>115.71353114208864</v>
      </c>
      <c r="H8" s="57">
        <f t="shared" si="1"/>
        <v>50.309859983947206</v>
      </c>
      <c r="J8" s="75"/>
    </row>
    <row r="9" spans="2:10" x14ac:dyDescent="0.25">
      <c r="B9" s="5" t="s">
        <v>29</v>
      </c>
      <c r="C9" s="58">
        <v>10299.08</v>
      </c>
      <c r="D9" s="58"/>
      <c r="E9" s="64">
        <v>13136</v>
      </c>
      <c r="F9" s="68">
        <v>9104.51</v>
      </c>
      <c r="G9" s="59">
        <f t="shared" si="0"/>
        <v>88.401197000120405</v>
      </c>
      <c r="H9" s="59">
        <f t="shared" si="1"/>
        <v>69.309607186358107</v>
      </c>
      <c r="J9" s="75"/>
    </row>
    <row r="10" spans="2:10" x14ac:dyDescent="0.25">
      <c r="B10" s="27" t="s">
        <v>28</v>
      </c>
      <c r="C10" s="55">
        <f>77598.41/7.5345</f>
        <v>10299.078903709602</v>
      </c>
      <c r="D10" s="55"/>
      <c r="E10" s="56">
        <v>13136</v>
      </c>
      <c r="F10" s="67">
        <v>9104.51</v>
      </c>
      <c r="G10" s="57">
        <f t="shared" si="0"/>
        <v>88.401206410028252</v>
      </c>
      <c r="H10" s="57">
        <f t="shared" si="1"/>
        <v>69.309607186358107</v>
      </c>
    </row>
    <row r="11" spans="2:10" x14ac:dyDescent="0.25">
      <c r="B11" s="5" t="s">
        <v>137</v>
      </c>
      <c r="C11" s="58">
        <v>988.12</v>
      </c>
      <c r="D11" s="58"/>
      <c r="E11" s="64">
        <v>3318</v>
      </c>
      <c r="F11" s="68">
        <v>1341</v>
      </c>
      <c r="G11" s="59">
        <f t="shared" si="0"/>
        <v>135.71226166862326</v>
      </c>
      <c r="H11" s="59">
        <f t="shared" si="1"/>
        <v>40.415913200723324</v>
      </c>
    </row>
    <row r="12" spans="2:10" x14ac:dyDescent="0.25">
      <c r="B12" s="27" t="s">
        <v>138</v>
      </c>
      <c r="C12" s="55">
        <f>7445/7.5345</f>
        <v>988.12130864689095</v>
      </c>
      <c r="D12" s="55"/>
      <c r="E12" s="56">
        <v>3318</v>
      </c>
      <c r="F12" s="67">
        <v>1341</v>
      </c>
      <c r="G12" s="59">
        <f t="shared" si="0"/>
        <v>135.71208193418403</v>
      </c>
      <c r="H12" s="59">
        <f t="shared" si="1"/>
        <v>40.415913200723324</v>
      </c>
    </row>
    <row r="13" spans="2:10" x14ac:dyDescent="0.25">
      <c r="B13" s="5" t="s">
        <v>129</v>
      </c>
      <c r="C13" s="58">
        <f>SUM(C14:C17)</f>
        <v>25588.957462339902</v>
      </c>
      <c r="D13" s="58"/>
      <c r="E13" s="64">
        <f>SUM(E14:E17)</f>
        <v>115249</v>
      </c>
      <c r="F13" s="68">
        <f>SUM(F14:F17)</f>
        <v>29324.98</v>
      </c>
      <c r="G13" s="59">
        <f t="shared" si="0"/>
        <v>114.60013579356847</v>
      </c>
      <c r="H13" s="59">
        <f t="shared" si="1"/>
        <v>25.444888892745272</v>
      </c>
    </row>
    <row r="14" spans="2:10" x14ac:dyDescent="0.25">
      <c r="B14" s="28" t="s">
        <v>128</v>
      </c>
      <c r="C14" s="55">
        <f>142800/7.5345</f>
        <v>18952.8170416086</v>
      </c>
      <c r="D14" s="55"/>
      <c r="E14" s="56">
        <v>96391</v>
      </c>
      <c r="F14" s="67">
        <v>15608.98</v>
      </c>
      <c r="G14" s="57">
        <f t="shared" si="0"/>
        <v>82.357044684873955</v>
      </c>
      <c r="H14" s="57">
        <f t="shared" si="1"/>
        <v>16.193399798736397</v>
      </c>
    </row>
    <row r="15" spans="2:10" x14ac:dyDescent="0.25">
      <c r="B15" s="28" t="s">
        <v>130</v>
      </c>
      <c r="C15" s="55">
        <f>0</f>
        <v>0</v>
      </c>
      <c r="D15" s="55"/>
      <c r="E15" s="56">
        <v>3982</v>
      </c>
      <c r="F15" s="67">
        <v>1500</v>
      </c>
      <c r="G15" s="57"/>
      <c r="H15" s="57">
        <f t="shared" si="1"/>
        <v>37.669512807634355</v>
      </c>
    </row>
    <row r="16" spans="2:10" x14ac:dyDescent="0.25">
      <c r="B16" s="28" t="s">
        <v>131</v>
      </c>
      <c r="C16" s="55">
        <f>50000/7.5345</f>
        <v>6636.1404207313026</v>
      </c>
      <c r="D16" s="55"/>
      <c r="E16" s="56">
        <v>13300</v>
      </c>
      <c r="F16" s="67">
        <v>10640</v>
      </c>
      <c r="G16" s="57">
        <f t="shared" si="0"/>
        <v>160.33416</v>
      </c>
      <c r="H16" s="57">
        <f t="shared" si="1"/>
        <v>80</v>
      </c>
    </row>
    <row r="17" spans="2:10" x14ac:dyDescent="0.25">
      <c r="B17" s="28" t="s">
        <v>132</v>
      </c>
      <c r="C17" s="55">
        <v>0</v>
      </c>
      <c r="D17" s="55"/>
      <c r="E17" s="56">
        <v>1576</v>
      </c>
      <c r="F17" s="67">
        <v>1576</v>
      </c>
      <c r="G17" s="57"/>
      <c r="H17" s="57">
        <f t="shared" si="1"/>
        <v>100</v>
      </c>
    </row>
    <row r="18" spans="2:10" x14ac:dyDescent="0.25">
      <c r="B18" s="60" t="s">
        <v>133</v>
      </c>
      <c r="C18" s="58">
        <v>0</v>
      </c>
      <c r="D18" s="58"/>
      <c r="E18" s="64">
        <v>1500</v>
      </c>
      <c r="F18" s="68">
        <v>1500</v>
      </c>
      <c r="G18" s="59"/>
      <c r="H18" s="59">
        <f t="shared" si="1"/>
        <v>100</v>
      </c>
    </row>
    <row r="19" spans="2:10" x14ac:dyDescent="0.25">
      <c r="B19" s="28" t="s">
        <v>134</v>
      </c>
      <c r="C19" s="55">
        <v>0</v>
      </c>
      <c r="D19" s="55"/>
      <c r="E19" s="56">
        <v>1500</v>
      </c>
      <c r="F19" s="67">
        <v>1500</v>
      </c>
      <c r="G19" s="57"/>
      <c r="H19" s="57">
        <f t="shared" si="1"/>
        <v>100</v>
      </c>
    </row>
    <row r="20" spans="2:10" s="62" customFormat="1" ht="38.25" x14ac:dyDescent="0.25">
      <c r="B20" s="61" t="s">
        <v>135</v>
      </c>
      <c r="C20" s="64">
        <v>7515.06</v>
      </c>
      <c r="D20" s="64"/>
      <c r="E20" s="64">
        <v>0</v>
      </c>
      <c r="F20" s="69">
        <v>0</v>
      </c>
      <c r="G20" s="65"/>
      <c r="H20" s="65"/>
    </row>
    <row r="21" spans="2:10" s="62" customFormat="1" ht="25.5" x14ac:dyDescent="0.25">
      <c r="B21" s="63" t="s">
        <v>136</v>
      </c>
      <c r="C21" s="56">
        <v>7515.06</v>
      </c>
      <c r="D21" s="56"/>
      <c r="E21" s="56">
        <v>0</v>
      </c>
      <c r="F21" s="70">
        <v>0</v>
      </c>
      <c r="G21" s="66"/>
      <c r="H21" s="66"/>
    </row>
    <row r="22" spans="2:10" ht="15.75" customHeight="1" x14ac:dyDescent="0.25">
      <c r="B22" s="5" t="s">
        <v>32</v>
      </c>
      <c r="C22" s="58">
        <v>231541.37</v>
      </c>
      <c r="D22" s="58"/>
      <c r="E22" s="64">
        <v>693229</v>
      </c>
      <c r="F22" s="68">
        <v>286291.23</v>
      </c>
      <c r="G22" s="59">
        <f>F22/C22*100</f>
        <v>123.64582191078854</v>
      </c>
      <c r="H22" s="59">
        <f>F22/E22*100</f>
        <v>41.298218914673214</v>
      </c>
    </row>
    <row r="23" spans="2:10" ht="15.75" customHeight="1" x14ac:dyDescent="0.25">
      <c r="B23" s="5" t="s">
        <v>31</v>
      </c>
      <c r="C23" s="58">
        <v>222022.85</v>
      </c>
      <c r="D23" s="58"/>
      <c r="E23" s="58">
        <v>560029.80000000005</v>
      </c>
      <c r="F23" s="68">
        <v>274261.65999999997</v>
      </c>
      <c r="G23" s="59">
        <f t="shared" ref="G23:G30" si="2">F23/C23*100</f>
        <v>123.5285737481525</v>
      </c>
      <c r="H23" s="59">
        <f t="shared" ref="H23:H38" si="3">F23/E23*100</f>
        <v>48.972690381833246</v>
      </c>
      <c r="J23" s="75"/>
    </row>
    <row r="24" spans="2:10" x14ac:dyDescent="0.25">
      <c r="B24" s="29" t="s">
        <v>30</v>
      </c>
      <c r="C24" s="55">
        <v>222022.85</v>
      </c>
      <c r="D24" s="55"/>
      <c r="E24" s="55">
        <v>560029.80000000005</v>
      </c>
      <c r="F24" s="67">
        <v>274261.65999999997</v>
      </c>
      <c r="G24" s="57">
        <f t="shared" si="2"/>
        <v>123.5285737481525</v>
      </c>
      <c r="H24" s="57">
        <f t="shared" si="3"/>
        <v>48.972690381833246</v>
      </c>
      <c r="J24" s="75"/>
    </row>
    <row r="25" spans="2:10" x14ac:dyDescent="0.25">
      <c r="B25" s="5" t="s">
        <v>29</v>
      </c>
      <c r="C25" s="58">
        <v>8899.1200000000008</v>
      </c>
      <c r="D25" s="58"/>
      <c r="E25" s="64">
        <v>13136</v>
      </c>
      <c r="F25" s="68">
        <v>1046.57</v>
      </c>
      <c r="G25" s="59">
        <f t="shared" si="2"/>
        <v>11.760376306870789</v>
      </c>
      <c r="H25" s="59">
        <f t="shared" si="3"/>
        <v>7.9671894031668691</v>
      </c>
    </row>
    <row r="26" spans="2:10" x14ac:dyDescent="0.25">
      <c r="B26" s="27" t="s">
        <v>28</v>
      </c>
      <c r="C26" s="55">
        <v>8899.1200000000008</v>
      </c>
      <c r="D26" s="55"/>
      <c r="E26" s="56">
        <v>13136</v>
      </c>
      <c r="F26" s="67">
        <v>1046.57</v>
      </c>
      <c r="G26" s="57">
        <f t="shared" si="2"/>
        <v>11.760376306870789</v>
      </c>
      <c r="H26" s="57">
        <f t="shared" si="3"/>
        <v>7.9671894031668691</v>
      </c>
    </row>
    <row r="27" spans="2:10" x14ac:dyDescent="0.25">
      <c r="B27" s="5" t="s">
        <v>137</v>
      </c>
      <c r="C27" s="58">
        <v>98.45</v>
      </c>
      <c r="D27" s="58"/>
      <c r="E27" s="64">
        <v>3318</v>
      </c>
      <c r="F27" s="68">
        <v>0</v>
      </c>
      <c r="G27" s="59"/>
      <c r="H27" s="59">
        <f t="shared" si="3"/>
        <v>0</v>
      </c>
    </row>
    <row r="28" spans="2:10" x14ac:dyDescent="0.25">
      <c r="B28" s="27" t="s">
        <v>138</v>
      </c>
      <c r="C28" s="55">
        <v>98.45</v>
      </c>
      <c r="D28" s="55"/>
      <c r="E28" s="56">
        <v>3318</v>
      </c>
      <c r="F28" s="67">
        <v>0</v>
      </c>
      <c r="G28" s="57"/>
      <c r="H28" s="57">
        <f t="shared" si="3"/>
        <v>0</v>
      </c>
    </row>
    <row r="29" spans="2:10" x14ac:dyDescent="0.25">
      <c r="B29" s="5" t="s">
        <v>129</v>
      </c>
      <c r="C29" s="58">
        <f>SUM(C30:C33)</f>
        <v>520.93702302740724</v>
      </c>
      <c r="D29" s="58"/>
      <c r="E29" s="64">
        <f>SUM(E30:E33)</f>
        <v>115249</v>
      </c>
      <c r="F29" s="68">
        <f>SUM(F30:F33)</f>
        <v>10983</v>
      </c>
      <c r="G29" s="59">
        <f t="shared" si="2"/>
        <v>2108.3162675159238</v>
      </c>
      <c r="H29" s="59">
        <f t="shared" si="3"/>
        <v>9.5298006924138168</v>
      </c>
    </row>
    <row r="30" spans="2:10" x14ac:dyDescent="0.25">
      <c r="B30" s="28" t="s">
        <v>128</v>
      </c>
      <c r="C30" s="55">
        <f>3925/7.5345</f>
        <v>520.93702302740724</v>
      </c>
      <c r="D30" s="55"/>
      <c r="E30" s="56">
        <v>96391</v>
      </c>
      <c r="F30" s="67">
        <v>4333</v>
      </c>
      <c r="G30" s="57">
        <f t="shared" si="2"/>
        <v>831.77040764331218</v>
      </c>
      <c r="H30" s="57">
        <f t="shared" si="3"/>
        <v>4.4952329574337853</v>
      </c>
    </row>
    <row r="31" spans="2:10" x14ac:dyDescent="0.25">
      <c r="B31" s="28" t="s">
        <v>130</v>
      </c>
      <c r="C31" s="55">
        <f>0</f>
        <v>0</v>
      </c>
      <c r="D31" s="55"/>
      <c r="E31" s="56">
        <v>3982</v>
      </c>
      <c r="F31" s="67">
        <v>0</v>
      </c>
      <c r="G31" s="57"/>
      <c r="H31" s="57">
        <f t="shared" si="3"/>
        <v>0</v>
      </c>
    </row>
    <row r="32" spans="2:10" x14ac:dyDescent="0.25">
      <c r="B32" s="28" t="s">
        <v>131</v>
      </c>
      <c r="C32" s="55">
        <f>0</f>
        <v>0</v>
      </c>
      <c r="D32" s="55"/>
      <c r="E32" s="56">
        <v>13300</v>
      </c>
      <c r="F32" s="67">
        <v>6650</v>
      </c>
      <c r="G32" s="57"/>
      <c r="H32" s="57">
        <f t="shared" si="3"/>
        <v>50</v>
      </c>
    </row>
    <row r="33" spans="2:8" x14ac:dyDescent="0.25">
      <c r="B33" s="28" t="s">
        <v>132</v>
      </c>
      <c r="C33" s="55">
        <v>0</v>
      </c>
      <c r="D33" s="55"/>
      <c r="E33" s="56">
        <v>1576</v>
      </c>
      <c r="F33" s="67">
        <v>0</v>
      </c>
      <c r="G33" s="57"/>
      <c r="H33" s="57">
        <f t="shared" si="3"/>
        <v>0</v>
      </c>
    </row>
    <row r="34" spans="2:8" x14ac:dyDescent="0.25">
      <c r="B34" s="88"/>
      <c r="C34" s="89"/>
      <c r="D34" s="89"/>
      <c r="E34" s="81"/>
      <c r="F34" s="82"/>
      <c r="G34" s="83"/>
      <c r="H34" s="83"/>
    </row>
    <row r="35" spans="2:8" x14ac:dyDescent="0.25">
      <c r="B35" s="90"/>
      <c r="C35" s="91"/>
      <c r="D35" s="91"/>
      <c r="E35" s="92"/>
      <c r="F35" s="79"/>
      <c r="G35" s="75"/>
      <c r="H35" s="75"/>
    </row>
    <row r="36" spans="2:8" x14ac:dyDescent="0.25">
      <c r="B36" s="93"/>
      <c r="C36" s="94"/>
      <c r="D36" s="94"/>
      <c r="E36" s="85"/>
      <c r="F36" s="86"/>
      <c r="G36" s="87"/>
      <c r="H36" s="87"/>
    </row>
    <row r="37" spans="2:8" x14ac:dyDescent="0.25">
      <c r="B37" s="60" t="s">
        <v>133</v>
      </c>
      <c r="C37" s="58">
        <v>0</v>
      </c>
      <c r="D37" s="58"/>
      <c r="E37" s="64">
        <v>1500</v>
      </c>
      <c r="F37" s="68">
        <v>0</v>
      </c>
      <c r="G37" s="59"/>
      <c r="H37" s="59">
        <f t="shared" si="3"/>
        <v>0</v>
      </c>
    </row>
    <row r="38" spans="2:8" x14ac:dyDescent="0.25">
      <c r="B38" s="28" t="s">
        <v>134</v>
      </c>
      <c r="C38" s="55">
        <v>0</v>
      </c>
      <c r="D38" s="55"/>
      <c r="E38" s="56">
        <v>1500</v>
      </c>
      <c r="F38" s="67">
        <v>0</v>
      </c>
      <c r="G38" s="57"/>
      <c r="H38" s="57">
        <f t="shared" si="3"/>
        <v>0</v>
      </c>
    </row>
    <row r="39" spans="2:8" ht="38.25" x14ac:dyDescent="0.25">
      <c r="B39" s="61" t="s">
        <v>135</v>
      </c>
      <c r="C39" s="64">
        <v>0</v>
      </c>
      <c r="D39" s="64"/>
      <c r="E39" s="64"/>
      <c r="F39" s="69">
        <v>0</v>
      </c>
      <c r="G39" s="59"/>
      <c r="H39" s="59"/>
    </row>
    <row r="40" spans="2:8" ht="25.5" x14ac:dyDescent="0.25">
      <c r="B40" s="63" t="s">
        <v>136</v>
      </c>
      <c r="C40" s="56">
        <f>0</f>
        <v>0</v>
      </c>
      <c r="D40" s="56"/>
      <c r="E40" s="56">
        <v>0</v>
      </c>
      <c r="F40" s="70">
        <v>0</v>
      </c>
      <c r="G40" s="59"/>
      <c r="H40" s="59"/>
    </row>
  </sheetData>
  <mergeCells count="1">
    <mergeCell ref="B2:H2"/>
  </mergeCells>
  <pageMargins left="0.7" right="0.7" top="0.75" bottom="0.75" header="0.3" footer="0.3"/>
  <pageSetup paperSize="9"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8"/>
  <sheetViews>
    <sheetView workbookViewId="0">
      <selection activeCell="B2" sqref="B2:H2"/>
    </sheetView>
  </sheetViews>
  <sheetFormatPr defaultRowHeight="15" x14ac:dyDescent="0.25"/>
  <cols>
    <col min="2" max="2" width="37.7109375" customWidth="1"/>
    <col min="3" max="3" width="25.28515625" customWidth="1"/>
    <col min="4" max="4" width="25.28515625" hidden="1" customWidth="1"/>
    <col min="5" max="6" width="25.28515625" customWidth="1"/>
    <col min="7" max="7" width="14.7109375" customWidth="1"/>
    <col min="8" max="8" width="12.14062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12" t="s">
        <v>39</v>
      </c>
      <c r="C2" s="112"/>
      <c r="D2" s="112"/>
      <c r="E2" s="112"/>
      <c r="F2" s="112"/>
      <c r="G2" s="112"/>
      <c r="H2" s="112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6" t="s">
        <v>6</v>
      </c>
      <c r="C4" s="36" t="s">
        <v>64</v>
      </c>
      <c r="D4" s="36" t="s">
        <v>45</v>
      </c>
      <c r="E4" s="36" t="s">
        <v>42</v>
      </c>
      <c r="F4" s="36" t="s">
        <v>65</v>
      </c>
      <c r="G4" s="36" t="s">
        <v>15</v>
      </c>
      <c r="H4" s="36" t="s">
        <v>43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17</v>
      </c>
      <c r="H5" s="36" t="s">
        <v>18</v>
      </c>
    </row>
    <row r="6" spans="2:8" ht="15.75" customHeight="1" x14ac:dyDescent="0.25">
      <c r="B6" s="5" t="s">
        <v>32</v>
      </c>
      <c r="C6" s="58">
        <v>231541.37</v>
      </c>
      <c r="D6" s="58"/>
      <c r="E6" s="58">
        <v>693229</v>
      </c>
      <c r="F6" s="59">
        <v>286291.23</v>
      </c>
      <c r="G6" s="59">
        <f>F6/C6*100</f>
        <v>123.64582191078854</v>
      </c>
      <c r="H6" s="59">
        <f>F6/E6*100</f>
        <v>41.298218914673214</v>
      </c>
    </row>
    <row r="7" spans="2:8" ht="15.75" customHeight="1" x14ac:dyDescent="0.25">
      <c r="B7" s="5" t="s">
        <v>126</v>
      </c>
      <c r="C7" s="58">
        <v>231541.37</v>
      </c>
      <c r="D7" s="58"/>
      <c r="E7" s="58">
        <v>693229</v>
      </c>
      <c r="F7" s="59">
        <v>286291.23</v>
      </c>
      <c r="G7" s="59">
        <f t="shared" ref="G7:G8" si="0">F7/C7*100</f>
        <v>123.64582191078854</v>
      </c>
      <c r="H7" s="59">
        <f t="shared" ref="H7:H8" si="1">F7/E7*100</f>
        <v>41.298218914673214</v>
      </c>
    </row>
    <row r="8" spans="2:8" x14ac:dyDescent="0.25">
      <c r="B8" s="10" t="s">
        <v>127</v>
      </c>
      <c r="C8" s="55">
        <v>231541.37</v>
      </c>
      <c r="D8" s="55"/>
      <c r="E8" s="55">
        <v>693229</v>
      </c>
      <c r="F8" s="57">
        <v>286291.23</v>
      </c>
      <c r="G8" s="57">
        <f t="shared" si="0"/>
        <v>123.64582191078854</v>
      </c>
      <c r="H8" s="57">
        <f t="shared" si="1"/>
        <v>41.298218914673214</v>
      </c>
    </row>
  </sheetData>
  <mergeCells count="1">
    <mergeCell ref="B2:H2"/>
  </mergeCells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2"/>
  <sheetViews>
    <sheetView workbookViewId="0">
      <selection activeCell="B2" sqref="B2:L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6" width="26.5703125" customWidth="1"/>
    <col min="7" max="7" width="25.28515625" customWidth="1"/>
    <col min="8" max="8" width="25.28515625" hidden="1" customWidth="1"/>
    <col min="9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25">
      <c r="B2" s="112" t="s">
        <v>63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12" ht="15.75" customHeight="1" x14ac:dyDescent="0.25">
      <c r="B3" s="112" t="s">
        <v>35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25">
      <c r="B5" s="121" t="s">
        <v>6</v>
      </c>
      <c r="C5" s="122"/>
      <c r="D5" s="122"/>
      <c r="E5" s="122"/>
      <c r="F5" s="123"/>
      <c r="G5" s="38" t="s">
        <v>55</v>
      </c>
      <c r="H5" s="36" t="s">
        <v>45</v>
      </c>
      <c r="I5" s="38" t="s">
        <v>44</v>
      </c>
      <c r="J5" s="38" t="s">
        <v>56</v>
      </c>
      <c r="K5" s="38" t="s">
        <v>15</v>
      </c>
      <c r="L5" s="38" t="s">
        <v>43</v>
      </c>
    </row>
    <row r="6" spans="2:12" x14ac:dyDescent="0.25">
      <c r="B6" s="121">
        <v>1</v>
      </c>
      <c r="C6" s="122"/>
      <c r="D6" s="122"/>
      <c r="E6" s="122"/>
      <c r="F6" s="123"/>
      <c r="G6" s="38">
        <v>2</v>
      </c>
      <c r="H6" s="38">
        <v>3</v>
      </c>
      <c r="I6" s="38">
        <v>4</v>
      </c>
      <c r="J6" s="38">
        <v>5</v>
      </c>
      <c r="K6" s="38" t="s">
        <v>17</v>
      </c>
      <c r="L6" s="38" t="s">
        <v>18</v>
      </c>
    </row>
    <row r="7" spans="2:12" ht="25.5" x14ac:dyDescent="0.25">
      <c r="B7" s="5">
        <v>8</v>
      </c>
      <c r="C7" s="5"/>
      <c r="D7" s="5"/>
      <c r="E7" s="5"/>
      <c r="F7" s="5" t="s">
        <v>8</v>
      </c>
      <c r="G7" s="58">
        <v>0</v>
      </c>
      <c r="H7" s="58"/>
      <c r="I7" s="58">
        <v>0</v>
      </c>
      <c r="J7" s="59">
        <v>0</v>
      </c>
      <c r="K7" s="59"/>
      <c r="L7" s="59">
        <f>J7/4*100</f>
        <v>0</v>
      </c>
    </row>
    <row r="8" spans="2:12" x14ac:dyDescent="0.25">
      <c r="B8" s="5"/>
      <c r="C8" s="9">
        <v>84</v>
      </c>
      <c r="D8" s="9"/>
      <c r="E8" s="9"/>
      <c r="F8" s="9" t="s">
        <v>13</v>
      </c>
      <c r="G8" s="55">
        <v>0</v>
      </c>
      <c r="H8" s="55"/>
      <c r="I8" s="55">
        <v>0</v>
      </c>
      <c r="J8" s="57">
        <v>0</v>
      </c>
      <c r="K8" s="57"/>
      <c r="L8" s="57">
        <f t="shared" ref="L8" si="0">J8/4*100</f>
        <v>0</v>
      </c>
    </row>
    <row r="9" spans="2:12" ht="25.5" x14ac:dyDescent="0.25">
      <c r="B9" s="8">
        <v>5</v>
      </c>
      <c r="C9" s="8"/>
      <c r="D9" s="8"/>
      <c r="E9" s="8"/>
      <c r="F9" s="19" t="s">
        <v>9</v>
      </c>
      <c r="G9" s="58">
        <v>1331.27</v>
      </c>
      <c r="H9" s="58"/>
      <c r="I9" s="58">
        <v>624</v>
      </c>
      <c r="J9" s="59">
        <v>620.20000000000005</v>
      </c>
      <c r="K9" s="59">
        <f>J9/G9*100</f>
        <v>46.587093527233399</v>
      </c>
      <c r="L9" s="59">
        <f>J9/I9*100</f>
        <v>99.391025641025649</v>
      </c>
    </row>
    <row r="10" spans="2:12" ht="25.5" x14ac:dyDescent="0.25">
      <c r="B10" s="9"/>
      <c r="C10" s="9">
        <v>54</v>
      </c>
      <c r="D10" s="9"/>
      <c r="E10" s="9"/>
      <c r="F10" s="20" t="s">
        <v>14</v>
      </c>
      <c r="G10" s="55">
        <v>1331.27</v>
      </c>
      <c r="H10" s="55"/>
      <c r="I10" s="56">
        <v>624</v>
      </c>
      <c r="J10" s="57">
        <v>620.20000000000005</v>
      </c>
      <c r="K10" s="57">
        <f t="shared" ref="K10:K12" si="1">J10/G10*100</f>
        <v>46.587093527233399</v>
      </c>
      <c r="L10" s="57">
        <f>J10/I10*100</f>
        <v>99.391025641025649</v>
      </c>
    </row>
    <row r="11" spans="2:12" ht="51" x14ac:dyDescent="0.25">
      <c r="B11" s="9"/>
      <c r="C11" s="9"/>
      <c r="D11" s="9">
        <v>544</v>
      </c>
      <c r="E11" s="26"/>
      <c r="F11" s="26" t="s">
        <v>124</v>
      </c>
      <c r="G11" s="55">
        <v>1331.27</v>
      </c>
      <c r="H11" s="55"/>
      <c r="I11" s="56">
        <v>624</v>
      </c>
      <c r="J11" s="57">
        <v>620.20000000000005</v>
      </c>
      <c r="K11" s="57">
        <f t="shared" si="1"/>
        <v>46.587093527233399</v>
      </c>
      <c r="L11" s="57">
        <f t="shared" ref="L11:L12" si="2">J11/I11*100</f>
        <v>99.391025641025649</v>
      </c>
    </row>
    <row r="12" spans="2:12" ht="51" x14ac:dyDescent="0.25">
      <c r="B12" s="9"/>
      <c r="C12" s="9"/>
      <c r="D12" s="9"/>
      <c r="E12" s="26">
        <v>5445</v>
      </c>
      <c r="F12" s="26" t="s">
        <v>125</v>
      </c>
      <c r="G12" s="55">
        <v>1331.27</v>
      </c>
      <c r="H12" s="55"/>
      <c r="I12" s="56">
        <v>624</v>
      </c>
      <c r="J12" s="57">
        <v>620.20000000000005</v>
      </c>
      <c r="K12" s="57">
        <f t="shared" si="1"/>
        <v>46.587093527233399</v>
      </c>
      <c r="L12" s="57">
        <f t="shared" si="2"/>
        <v>99.391025641025649</v>
      </c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11"/>
  <sheetViews>
    <sheetView workbookViewId="0">
      <selection activeCell="B2" sqref="B2:H2"/>
    </sheetView>
  </sheetViews>
  <sheetFormatPr defaultRowHeight="15" x14ac:dyDescent="0.25"/>
  <cols>
    <col min="2" max="2" width="37.7109375" customWidth="1"/>
    <col min="3" max="3" width="25.28515625" customWidth="1"/>
    <col min="4" max="4" width="25.28515625" hidden="1" customWidth="1"/>
    <col min="5" max="6" width="25.28515625" customWidth="1"/>
    <col min="7" max="7" width="14" customWidth="1"/>
    <col min="8" max="8" width="13.570312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12" t="s">
        <v>36</v>
      </c>
      <c r="C2" s="112"/>
      <c r="D2" s="112"/>
      <c r="E2" s="112"/>
      <c r="F2" s="112"/>
      <c r="G2" s="112"/>
      <c r="H2" s="112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6" t="s">
        <v>6</v>
      </c>
      <c r="C4" s="36" t="s">
        <v>55</v>
      </c>
      <c r="D4" s="36" t="s">
        <v>45</v>
      </c>
      <c r="E4" s="36" t="s">
        <v>42</v>
      </c>
      <c r="F4" s="36" t="s">
        <v>56</v>
      </c>
      <c r="G4" s="36" t="s">
        <v>15</v>
      </c>
      <c r="H4" s="36" t="s">
        <v>43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17</v>
      </c>
      <c r="H5" s="36" t="s">
        <v>18</v>
      </c>
    </row>
    <row r="6" spans="2:8" x14ac:dyDescent="0.25">
      <c r="B6" s="5" t="s">
        <v>37</v>
      </c>
      <c r="C6" s="55">
        <v>0</v>
      </c>
      <c r="D6" s="55"/>
      <c r="E6" s="56">
        <v>0</v>
      </c>
      <c r="F6" s="57">
        <v>0</v>
      </c>
      <c r="G6" s="57"/>
      <c r="H6" s="57"/>
    </row>
    <row r="7" spans="2:8" x14ac:dyDescent="0.25">
      <c r="B7" s="5" t="s">
        <v>31</v>
      </c>
      <c r="C7" s="55">
        <v>0</v>
      </c>
      <c r="D7" s="55"/>
      <c r="E7" s="55">
        <v>0</v>
      </c>
      <c r="F7" s="57">
        <v>0</v>
      </c>
      <c r="G7" s="57"/>
      <c r="H7" s="57"/>
    </row>
    <row r="8" spans="2:8" x14ac:dyDescent="0.25">
      <c r="B8" s="29" t="s">
        <v>30</v>
      </c>
      <c r="C8" s="55">
        <v>0</v>
      </c>
      <c r="D8" s="55"/>
      <c r="E8" s="55">
        <v>0</v>
      </c>
      <c r="F8" s="57">
        <v>0</v>
      </c>
      <c r="G8" s="57"/>
      <c r="H8" s="57"/>
    </row>
    <row r="9" spans="2:8" ht="15.75" customHeight="1" x14ac:dyDescent="0.25">
      <c r="B9" s="5" t="s">
        <v>38</v>
      </c>
      <c r="C9" s="55">
        <v>1331.27</v>
      </c>
      <c r="D9" s="55"/>
      <c r="E9" s="56">
        <v>624</v>
      </c>
      <c r="F9" s="57">
        <v>620.20000000000005</v>
      </c>
      <c r="G9" s="57">
        <f>F9/C9*100</f>
        <v>46.587093527233399</v>
      </c>
      <c r="H9" s="57">
        <f>F9/E9*100</f>
        <v>99.391025641025649</v>
      </c>
    </row>
    <row r="10" spans="2:8" ht="15.75" customHeight="1" x14ac:dyDescent="0.25">
      <c r="B10" s="5" t="s">
        <v>31</v>
      </c>
      <c r="C10" s="55">
        <v>1331.27</v>
      </c>
      <c r="D10" s="55"/>
      <c r="E10" s="55">
        <v>624</v>
      </c>
      <c r="F10" s="57">
        <v>620.20000000000005</v>
      </c>
      <c r="G10" s="57">
        <f t="shared" ref="G10:G11" si="0">F10/C10*100</f>
        <v>46.587093527233399</v>
      </c>
      <c r="H10" s="57">
        <f t="shared" ref="H10:H11" si="1">F10/E10*100</f>
        <v>99.391025641025649</v>
      </c>
    </row>
    <row r="11" spans="2:8" x14ac:dyDescent="0.25">
      <c r="B11" s="29" t="s">
        <v>30</v>
      </c>
      <c r="C11" s="55">
        <f>10030.49/7.5345</f>
        <v>1331.2748025748224</v>
      </c>
      <c r="D11" s="55"/>
      <c r="E11" s="55">
        <v>624</v>
      </c>
      <c r="F11" s="57">
        <v>620.20000000000005</v>
      </c>
      <c r="G11" s="57">
        <f t="shared" si="0"/>
        <v>46.58692546425948</v>
      </c>
      <c r="H11" s="57">
        <f t="shared" si="1"/>
        <v>99.391025641025649</v>
      </c>
    </row>
  </sheetData>
  <mergeCells count="1">
    <mergeCell ref="B2:H2"/>
  </mergeCells>
  <pageMargins left="0.7" right="0.7" top="0.75" bottom="0.75" header="0.3" footer="0.3"/>
  <pageSetup paperSize="9"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149"/>
  <sheetViews>
    <sheetView workbookViewId="0">
      <selection activeCell="B2" sqref="B2:I2"/>
    </sheetView>
  </sheetViews>
  <sheetFormatPr defaultRowHeight="15" x14ac:dyDescent="0.25"/>
  <cols>
    <col min="1" max="1" width="10.7109375" customWidth="1"/>
    <col min="2" max="2" width="7.42578125" bestFit="1" customWidth="1"/>
    <col min="3" max="3" width="8.42578125" bestFit="1" customWidth="1"/>
    <col min="4" max="4" width="23.42578125" customWidth="1"/>
    <col min="5" max="5" width="37.42578125" customWidth="1"/>
    <col min="6" max="6" width="25.28515625" hidden="1" customWidth="1"/>
    <col min="7" max="8" width="25.28515625" customWidth="1"/>
    <col min="9" max="9" width="13.140625" customWidth="1"/>
  </cols>
  <sheetData>
    <row r="1" spans="2:9" ht="18" x14ac:dyDescent="0.25">
      <c r="B1" s="2"/>
      <c r="C1" s="2"/>
      <c r="D1" s="2"/>
      <c r="E1" s="2"/>
      <c r="F1" s="2"/>
      <c r="G1" s="2"/>
      <c r="H1" s="2"/>
      <c r="I1" s="3"/>
    </row>
    <row r="2" spans="2:9" ht="18" customHeight="1" x14ac:dyDescent="0.25">
      <c r="B2" s="112" t="s">
        <v>10</v>
      </c>
      <c r="C2" s="130"/>
      <c r="D2" s="130"/>
      <c r="E2" s="130"/>
      <c r="F2" s="130"/>
      <c r="G2" s="130"/>
      <c r="H2" s="130"/>
      <c r="I2" s="130"/>
    </row>
    <row r="3" spans="2:9" ht="18" x14ac:dyDescent="0.25">
      <c r="B3" s="2"/>
      <c r="C3" s="2"/>
      <c r="D3" s="2"/>
      <c r="E3" s="2"/>
      <c r="F3" s="2"/>
      <c r="G3" s="2"/>
      <c r="H3" s="2"/>
      <c r="I3" s="3"/>
    </row>
    <row r="4" spans="2:9" ht="15.75" x14ac:dyDescent="0.25">
      <c r="B4" s="131" t="s">
        <v>66</v>
      </c>
      <c r="C4" s="131"/>
      <c r="D4" s="131"/>
      <c r="E4" s="131"/>
      <c r="F4" s="131"/>
      <c r="G4" s="131"/>
      <c r="H4" s="131"/>
      <c r="I4" s="131"/>
    </row>
    <row r="5" spans="2:9" ht="18" x14ac:dyDescent="0.25">
      <c r="B5" s="2"/>
      <c r="C5" s="2"/>
      <c r="D5" s="2"/>
      <c r="E5" s="2"/>
      <c r="F5" s="2"/>
      <c r="G5" s="2"/>
      <c r="H5" s="2"/>
      <c r="I5" s="3"/>
    </row>
    <row r="6" spans="2:9" ht="25.5" x14ac:dyDescent="0.25">
      <c r="B6" s="121" t="s">
        <v>6</v>
      </c>
      <c r="C6" s="122"/>
      <c r="D6" s="122"/>
      <c r="E6" s="123"/>
      <c r="F6" s="36" t="s">
        <v>45</v>
      </c>
      <c r="G6" s="36" t="s">
        <v>42</v>
      </c>
      <c r="H6" s="36" t="s">
        <v>67</v>
      </c>
      <c r="I6" s="36" t="s">
        <v>43</v>
      </c>
    </row>
    <row r="7" spans="2:9" s="25" customFormat="1" ht="11.25" x14ac:dyDescent="0.2">
      <c r="B7" s="132">
        <v>1</v>
      </c>
      <c r="C7" s="133"/>
      <c r="D7" s="133"/>
      <c r="E7" s="134"/>
      <c r="F7" s="37">
        <v>2</v>
      </c>
      <c r="G7" s="37">
        <v>3</v>
      </c>
      <c r="H7" s="37">
        <v>4</v>
      </c>
      <c r="I7" s="37" t="s">
        <v>40</v>
      </c>
    </row>
    <row r="8" spans="2:9" s="40" customFormat="1" x14ac:dyDescent="0.25">
      <c r="B8" s="127">
        <v>33771</v>
      </c>
      <c r="C8" s="128"/>
      <c r="D8" s="129"/>
      <c r="E8" s="49" t="s">
        <v>70</v>
      </c>
      <c r="F8" s="41"/>
      <c r="G8" s="53">
        <v>693853</v>
      </c>
      <c r="H8" s="53">
        <v>286911.43</v>
      </c>
      <c r="I8" s="54">
        <f>H8/G8*100</f>
        <v>41.350463282568498</v>
      </c>
    </row>
    <row r="9" spans="2:9" s="40" customFormat="1" x14ac:dyDescent="0.25">
      <c r="B9" s="127">
        <v>4</v>
      </c>
      <c r="C9" s="128"/>
      <c r="D9" s="129"/>
      <c r="E9" s="49" t="s">
        <v>70</v>
      </c>
      <c r="F9" s="41"/>
      <c r="G9" s="53">
        <v>693853</v>
      </c>
      <c r="H9" s="53">
        <v>286911.43</v>
      </c>
      <c r="I9" s="54">
        <f t="shared" ref="I9:I71" si="0">H9/G9*100</f>
        <v>41.350463282568498</v>
      </c>
    </row>
    <row r="10" spans="2:9" s="40" customFormat="1" x14ac:dyDescent="0.25">
      <c r="B10" s="124">
        <v>11</v>
      </c>
      <c r="C10" s="125"/>
      <c r="D10" s="126"/>
      <c r="E10" s="42" t="s">
        <v>71</v>
      </c>
      <c r="F10" s="41"/>
      <c r="G10" s="50">
        <v>560650</v>
      </c>
      <c r="H10" s="50">
        <v>274881.86</v>
      </c>
      <c r="I10" s="52">
        <f t="shared" si="0"/>
        <v>49.029137608133418</v>
      </c>
    </row>
    <row r="11" spans="2:9" s="40" customFormat="1" x14ac:dyDescent="0.25">
      <c r="B11" s="43">
        <v>31</v>
      </c>
      <c r="C11" s="44"/>
      <c r="D11" s="39"/>
      <c r="E11" s="45" t="s">
        <v>78</v>
      </c>
      <c r="F11" s="41"/>
      <c r="G11" s="50">
        <v>13136</v>
      </c>
      <c r="H11" s="50">
        <v>1046.57</v>
      </c>
      <c r="I11" s="52">
        <f>H11/G11*100</f>
        <v>7.9671894031668691</v>
      </c>
    </row>
    <row r="12" spans="2:9" s="40" customFormat="1" x14ac:dyDescent="0.25">
      <c r="B12" s="43">
        <v>44</v>
      </c>
      <c r="C12" s="44"/>
      <c r="D12" s="39"/>
      <c r="E12" s="45" t="s">
        <v>77</v>
      </c>
      <c r="F12" s="41"/>
      <c r="G12" s="50">
        <v>3318</v>
      </c>
      <c r="H12" s="50">
        <v>0</v>
      </c>
      <c r="I12" s="52">
        <f>H12/G12*100</f>
        <v>0</v>
      </c>
    </row>
    <row r="13" spans="2:9" s="40" customFormat="1" x14ac:dyDescent="0.25">
      <c r="B13" s="43">
        <v>51</v>
      </c>
      <c r="C13" s="44"/>
      <c r="D13" s="39"/>
      <c r="E13" s="45" t="s">
        <v>80</v>
      </c>
      <c r="F13" s="41"/>
      <c r="G13" s="50">
        <v>96391</v>
      </c>
      <c r="H13" s="50">
        <v>4333</v>
      </c>
      <c r="I13" s="52">
        <f t="shared" si="0"/>
        <v>4.4952329574337853</v>
      </c>
    </row>
    <row r="14" spans="2:9" s="40" customFormat="1" x14ac:dyDescent="0.25">
      <c r="B14" s="43">
        <v>53</v>
      </c>
      <c r="C14" s="44"/>
      <c r="D14" s="39"/>
      <c r="E14" s="45" t="s">
        <v>79</v>
      </c>
      <c r="F14" s="41"/>
      <c r="G14" s="50">
        <v>13300</v>
      </c>
      <c r="H14" s="50">
        <v>6650</v>
      </c>
      <c r="I14" s="52">
        <f t="shared" si="0"/>
        <v>50</v>
      </c>
    </row>
    <row r="15" spans="2:9" s="40" customFormat="1" x14ac:dyDescent="0.25">
      <c r="B15" s="43">
        <v>56</v>
      </c>
      <c r="C15" s="44"/>
      <c r="D15" s="39"/>
      <c r="E15" s="45" t="s">
        <v>123</v>
      </c>
      <c r="F15" s="41"/>
      <c r="G15" s="50">
        <v>1576</v>
      </c>
      <c r="H15" s="50">
        <v>0</v>
      </c>
      <c r="I15" s="52">
        <f>H15/G15*100</f>
        <v>0</v>
      </c>
    </row>
    <row r="16" spans="2:9" s="40" customFormat="1" x14ac:dyDescent="0.25">
      <c r="B16" s="135">
        <v>61</v>
      </c>
      <c r="C16" s="135"/>
      <c r="D16" s="135"/>
      <c r="E16" s="42" t="s">
        <v>76</v>
      </c>
      <c r="F16" s="41"/>
      <c r="G16" s="50">
        <v>1500</v>
      </c>
      <c r="H16" s="50">
        <v>0</v>
      </c>
      <c r="I16" s="52">
        <f>H16/G16*100</f>
        <v>0</v>
      </c>
    </row>
    <row r="17" spans="2:9" s="40" customFormat="1" x14ac:dyDescent="0.25">
      <c r="B17" s="127">
        <v>152001</v>
      </c>
      <c r="C17" s="128"/>
      <c r="D17" s="129"/>
      <c r="E17" s="49" t="s">
        <v>72</v>
      </c>
      <c r="F17" s="41"/>
      <c r="G17" s="53">
        <v>512223</v>
      </c>
      <c r="H17" s="53">
        <v>255827.74</v>
      </c>
      <c r="I17" s="54">
        <f t="shared" si="0"/>
        <v>49.944602253315452</v>
      </c>
    </row>
    <row r="18" spans="2:9" s="40" customFormat="1" x14ac:dyDescent="0.25">
      <c r="B18" s="127">
        <v>15200101</v>
      </c>
      <c r="C18" s="128"/>
      <c r="D18" s="129"/>
      <c r="E18" s="49" t="s">
        <v>73</v>
      </c>
      <c r="F18" s="41"/>
      <c r="G18" s="53">
        <v>512223</v>
      </c>
      <c r="H18" s="53">
        <v>255827.74</v>
      </c>
      <c r="I18" s="54">
        <f t="shared" si="0"/>
        <v>49.944602253315452</v>
      </c>
    </row>
    <row r="19" spans="2:9" s="40" customFormat="1" x14ac:dyDescent="0.25">
      <c r="B19" s="43">
        <v>11</v>
      </c>
      <c r="C19" s="44"/>
      <c r="D19" s="39"/>
      <c r="E19" s="45" t="s">
        <v>71</v>
      </c>
      <c r="F19" s="41"/>
      <c r="G19" s="50">
        <v>512223</v>
      </c>
      <c r="H19" s="50">
        <v>255827.74</v>
      </c>
      <c r="I19" s="52">
        <f t="shared" si="0"/>
        <v>49.944602253315452</v>
      </c>
    </row>
    <row r="20" spans="2:9" s="40" customFormat="1" x14ac:dyDescent="0.25">
      <c r="B20" s="43"/>
      <c r="C20" s="44">
        <v>31</v>
      </c>
      <c r="D20" s="39"/>
      <c r="E20" s="45" t="s">
        <v>74</v>
      </c>
      <c r="F20" s="41"/>
      <c r="G20" s="50">
        <v>426073</v>
      </c>
      <c r="H20" s="50">
        <v>212511.83</v>
      </c>
      <c r="I20" s="52">
        <f t="shared" si="0"/>
        <v>49.876859129773536</v>
      </c>
    </row>
    <row r="21" spans="2:9" s="40" customFormat="1" x14ac:dyDescent="0.25">
      <c r="B21" s="43"/>
      <c r="C21" s="44"/>
      <c r="D21" s="39">
        <v>3111</v>
      </c>
      <c r="E21" s="45" t="s">
        <v>75</v>
      </c>
      <c r="F21" s="41"/>
      <c r="G21" s="50"/>
      <c r="H21" s="50">
        <v>166888.4</v>
      </c>
      <c r="I21" s="52"/>
    </row>
    <row r="22" spans="2:9" s="40" customFormat="1" x14ac:dyDescent="0.25">
      <c r="B22" s="43"/>
      <c r="C22" s="44"/>
      <c r="D22" s="39">
        <v>3113</v>
      </c>
      <c r="E22" s="45" t="s">
        <v>81</v>
      </c>
      <c r="F22" s="41"/>
      <c r="G22" s="50"/>
      <c r="H22" s="50">
        <v>692.75</v>
      </c>
      <c r="I22" s="52"/>
    </row>
    <row r="23" spans="2:9" s="40" customFormat="1" x14ac:dyDescent="0.25">
      <c r="B23" s="43"/>
      <c r="C23" s="44"/>
      <c r="D23" s="39">
        <v>3121</v>
      </c>
      <c r="E23" s="45" t="s">
        <v>82</v>
      </c>
      <c r="F23" s="41"/>
      <c r="G23" s="50"/>
      <c r="H23" s="50">
        <v>17315.54</v>
      </c>
      <c r="I23" s="52"/>
    </row>
    <row r="24" spans="2:9" s="48" customFormat="1" ht="25.5" x14ac:dyDescent="0.25">
      <c r="B24" s="43"/>
      <c r="C24" s="44"/>
      <c r="D24" s="39">
        <v>3132</v>
      </c>
      <c r="E24" s="46" t="s">
        <v>83</v>
      </c>
      <c r="F24" s="47"/>
      <c r="G24" s="51"/>
      <c r="H24" s="51">
        <v>27615.14</v>
      </c>
      <c r="I24" s="52"/>
    </row>
    <row r="25" spans="2:9" s="40" customFormat="1" x14ac:dyDescent="0.25">
      <c r="B25" s="43"/>
      <c r="C25" s="44">
        <v>32</v>
      </c>
      <c r="D25" s="39"/>
      <c r="E25" s="45" t="s">
        <v>84</v>
      </c>
      <c r="F25" s="41"/>
      <c r="G25" s="50">
        <v>84863</v>
      </c>
      <c r="H25" s="50">
        <v>42203.02</v>
      </c>
      <c r="I25" s="52">
        <f t="shared" si="0"/>
        <v>49.730766058235034</v>
      </c>
    </row>
    <row r="26" spans="2:9" s="40" customFormat="1" x14ac:dyDescent="0.25">
      <c r="B26" s="43"/>
      <c r="C26" s="44"/>
      <c r="D26" s="39">
        <v>3211</v>
      </c>
      <c r="E26" s="45" t="s">
        <v>85</v>
      </c>
      <c r="F26" s="41"/>
      <c r="G26" s="50"/>
      <c r="H26" s="50">
        <v>278.44</v>
      </c>
      <c r="I26" s="52"/>
    </row>
    <row r="27" spans="2:9" s="48" customFormat="1" ht="25.5" x14ac:dyDescent="0.25">
      <c r="B27" s="43"/>
      <c r="C27" s="44"/>
      <c r="D27" s="39">
        <v>3212</v>
      </c>
      <c r="E27" s="46" t="s">
        <v>86</v>
      </c>
      <c r="F27" s="47"/>
      <c r="G27" s="51"/>
      <c r="H27" s="51">
        <v>4319</v>
      </c>
      <c r="I27" s="52"/>
    </row>
    <row r="28" spans="2:9" s="48" customFormat="1" ht="25.5" x14ac:dyDescent="0.25">
      <c r="B28" s="43"/>
      <c r="C28" s="44"/>
      <c r="D28" s="39">
        <v>3213</v>
      </c>
      <c r="E28" s="46" t="s">
        <v>87</v>
      </c>
      <c r="F28" s="47"/>
      <c r="G28" s="51"/>
      <c r="H28" s="51">
        <v>373.09</v>
      </c>
      <c r="I28" s="52"/>
    </row>
    <row r="29" spans="2:9" s="48" customFormat="1" ht="25.5" x14ac:dyDescent="0.25">
      <c r="B29" s="43"/>
      <c r="C29" s="44"/>
      <c r="D29" s="39">
        <v>3221</v>
      </c>
      <c r="E29" s="46" t="s">
        <v>88</v>
      </c>
      <c r="F29" s="47"/>
      <c r="G29" s="51"/>
      <c r="H29" s="51">
        <v>3039.95</v>
      </c>
      <c r="I29" s="52"/>
    </row>
    <row r="30" spans="2:9" s="40" customFormat="1" x14ac:dyDescent="0.25">
      <c r="B30" s="43"/>
      <c r="C30" s="44"/>
      <c r="D30" s="39">
        <v>3223</v>
      </c>
      <c r="E30" s="45" t="s">
        <v>89</v>
      </c>
      <c r="F30" s="41"/>
      <c r="G30" s="50"/>
      <c r="H30" s="50">
        <v>16182.75</v>
      </c>
      <c r="I30" s="52"/>
    </row>
    <row r="31" spans="2:9" s="48" customFormat="1" ht="25.5" x14ac:dyDescent="0.25">
      <c r="B31" s="43"/>
      <c r="C31" s="44"/>
      <c r="D31" s="39">
        <v>3224</v>
      </c>
      <c r="E31" s="46" t="s">
        <v>90</v>
      </c>
      <c r="F31" s="47"/>
      <c r="G31" s="51"/>
      <c r="H31" s="51">
        <v>392.36</v>
      </c>
      <c r="I31" s="52"/>
    </row>
    <row r="32" spans="2:9" s="40" customFormat="1" x14ac:dyDescent="0.25">
      <c r="B32" s="43"/>
      <c r="C32" s="44"/>
      <c r="D32" s="39">
        <v>3225</v>
      </c>
      <c r="E32" s="45" t="s">
        <v>91</v>
      </c>
      <c r="F32" s="41"/>
      <c r="G32" s="50"/>
      <c r="H32" s="50">
        <v>194.81</v>
      </c>
      <c r="I32" s="52"/>
    </row>
    <row r="33" spans="2:9" s="40" customFormat="1" x14ac:dyDescent="0.25">
      <c r="B33" s="43"/>
      <c r="C33" s="44"/>
      <c r="D33" s="39">
        <v>3231</v>
      </c>
      <c r="E33" s="45" t="s">
        <v>92</v>
      </c>
      <c r="F33" s="41"/>
      <c r="G33" s="50"/>
      <c r="H33" s="50">
        <v>2074.11</v>
      </c>
      <c r="I33" s="52"/>
    </row>
    <row r="34" spans="2:9" s="48" customFormat="1" ht="25.5" x14ac:dyDescent="0.25">
      <c r="B34" s="43"/>
      <c r="C34" s="44"/>
      <c r="D34" s="39">
        <v>3232</v>
      </c>
      <c r="E34" s="46" t="s">
        <v>93</v>
      </c>
      <c r="F34" s="47"/>
      <c r="G34" s="51"/>
      <c r="H34" s="51">
        <v>2811.03</v>
      </c>
      <c r="I34" s="52"/>
    </row>
    <row r="35" spans="2:9" s="40" customFormat="1" x14ac:dyDescent="0.25">
      <c r="B35" s="43"/>
      <c r="C35" s="44"/>
      <c r="D35" s="39">
        <v>3234</v>
      </c>
      <c r="E35" s="45" t="s">
        <v>94</v>
      </c>
      <c r="F35" s="41"/>
      <c r="G35" s="50"/>
      <c r="H35" s="50">
        <v>1913.34</v>
      </c>
      <c r="I35" s="52"/>
    </row>
    <row r="36" spans="2:9" s="40" customFormat="1" x14ac:dyDescent="0.25">
      <c r="B36" s="43"/>
      <c r="C36" s="44"/>
      <c r="D36" s="39">
        <v>3235</v>
      </c>
      <c r="E36" s="45" t="s">
        <v>95</v>
      </c>
      <c r="F36" s="41"/>
      <c r="G36" s="50"/>
      <c r="H36" s="50">
        <v>0</v>
      </c>
      <c r="I36" s="52"/>
    </row>
    <row r="37" spans="2:9" s="48" customFormat="1" ht="25.5" x14ac:dyDescent="0.25">
      <c r="B37" s="43"/>
      <c r="C37" s="44"/>
      <c r="D37" s="39">
        <v>3236</v>
      </c>
      <c r="E37" s="46" t="s">
        <v>96</v>
      </c>
      <c r="F37" s="47"/>
      <c r="G37" s="51"/>
      <c r="H37" s="51">
        <v>1911.21</v>
      </c>
      <c r="I37" s="52"/>
    </row>
    <row r="38" spans="2:9" s="40" customFormat="1" x14ac:dyDescent="0.25">
      <c r="B38" s="43"/>
      <c r="C38" s="44"/>
      <c r="D38" s="39">
        <v>3237</v>
      </c>
      <c r="E38" s="45" t="s">
        <v>97</v>
      </c>
      <c r="F38" s="41"/>
      <c r="G38" s="50"/>
      <c r="H38" s="50">
        <v>0</v>
      </c>
      <c r="I38" s="52"/>
    </row>
    <row r="39" spans="2:9" s="40" customFormat="1" x14ac:dyDescent="0.25">
      <c r="B39" s="43"/>
      <c r="C39" s="44"/>
      <c r="D39" s="39">
        <v>3238</v>
      </c>
      <c r="E39" s="45" t="s">
        <v>98</v>
      </c>
      <c r="F39" s="41"/>
      <c r="G39" s="50"/>
      <c r="H39" s="50">
        <v>1897.58</v>
      </c>
      <c r="I39" s="52"/>
    </row>
    <row r="40" spans="2:9" s="40" customFormat="1" x14ac:dyDescent="0.25">
      <c r="B40" s="43"/>
      <c r="C40" s="44"/>
      <c r="D40" s="39">
        <v>3239</v>
      </c>
      <c r="E40" s="45" t="s">
        <v>99</v>
      </c>
      <c r="F40" s="41"/>
      <c r="G40" s="50"/>
      <c r="H40" s="50">
        <v>2054.2399999999998</v>
      </c>
      <c r="I40" s="52"/>
    </row>
    <row r="41" spans="2:9" s="40" customFormat="1" x14ac:dyDescent="0.25">
      <c r="B41" s="43"/>
      <c r="C41" s="44"/>
      <c r="D41" s="39">
        <v>3292</v>
      </c>
      <c r="E41" s="45" t="s">
        <v>100</v>
      </c>
      <c r="F41" s="41"/>
      <c r="G41" s="50"/>
      <c r="H41" s="50">
        <v>3956.07</v>
      </c>
      <c r="I41" s="52"/>
    </row>
    <row r="42" spans="2:9" s="40" customFormat="1" x14ac:dyDescent="0.25">
      <c r="B42" s="43"/>
      <c r="C42" s="44"/>
      <c r="D42" s="39">
        <v>3293</v>
      </c>
      <c r="E42" s="45" t="s">
        <v>101</v>
      </c>
      <c r="F42" s="41"/>
      <c r="G42" s="50"/>
      <c r="H42" s="50">
        <v>577.44000000000005</v>
      </c>
      <c r="I42" s="52"/>
    </row>
    <row r="43" spans="2:9" s="40" customFormat="1" x14ac:dyDescent="0.25">
      <c r="B43" s="43"/>
      <c r="C43" s="44"/>
      <c r="D43" s="39">
        <v>3295</v>
      </c>
      <c r="E43" s="45" t="s">
        <v>102</v>
      </c>
      <c r="F43" s="41"/>
      <c r="G43" s="50"/>
      <c r="H43" s="50">
        <v>227.6</v>
      </c>
      <c r="I43" s="52"/>
    </row>
    <row r="44" spans="2:9" s="40" customFormat="1" x14ac:dyDescent="0.25">
      <c r="B44" s="43"/>
      <c r="C44" s="44">
        <v>34</v>
      </c>
      <c r="D44" s="39"/>
      <c r="E44" s="45" t="s">
        <v>103</v>
      </c>
      <c r="F44" s="41"/>
      <c r="G44" s="50">
        <v>265</v>
      </c>
      <c r="H44" s="50">
        <v>117.78</v>
      </c>
      <c r="I44" s="52">
        <f t="shared" si="0"/>
        <v>44.445283018867926</v>
      </c>
    </row>
    <row r="45" spans="2:9" s="48" customFormat="1" ht="51" x14ac:dyDescent="0.25">
      <c r="B45" s="43"/>
      <c r="C45" s="44"/>
      <c r="D45" s="39">
        <v>3423</v>
      </c>
      <c r="E45" s="46" t="s">
        <v>104</v>
      </c>
      <c r="F45" s="47"/>
      <c r="G45" s="51"/>
      <c r="H45" s="51">
        <v>5</v>
      </c>
      <c r="I45" s="52"/>
    </row>
    <row r="46" spans="2:9" s="40" customFormat="1" x14ac:dyDescent="0.25">
      <c r="B46" s="43"/>
      <c r="C46" s="44"/>
      <c r="D46" s="39">
        <v>3433</v>
      </c>
      <c r="E46" s="45" t="s">
        <v>105</v>
      </c>
      <c r="F46" s="41"/>
      <c r="G46" s="50"/>
      <c r="H46" s="50">
        <v>112.78</v>
      </c>
      <c r="I46" s="52"/>
    </row>
    <row r="47" spans="2:9" s="48" customFormat="1" ht="25.5" x14ac:dyDescent="0.25">
      <c r="B47" s="43"/>
      <c r="C47" s="44">
        <v>42</v>
      </c>
      <c r="D47" s="39"/>
      <c r="E47" s="46" t="s">
        <v>106</v>
      </c>
      <c r="F47" s="47"/>
      <c r="G47" s="51">
        <v>398</v>
      </c>
      <c r="H47" s="51">
        <v>374.91</v>
      </c>
      <c r="I47" s="52">
        <f t="shared" si="0"/>
        <v>94.198492462311563</v>
      </c>
    </row>
    <row r="48" spans="2:9" s="40" customFormat="1" x14ac:dyDescent="0.25">
      <c r="B48" s="43"/>
      <c r="C48" s="44"/>
      <c r="D48" s="39">
        <v>4221</v>
      </c>
      <c r="E48" s="45" t="s">
        <v>107</v>
      </c>
      <c r="F48" s="41"/>
      <c r="G48" s="50"/>
      <c r="H48" s="50">
        <v>374.91</v>
      </c>
      <c r="I48" s="52"/>
    </row>
    <row r="49" spans="2:9" s="48" customFormat="1" ht="25.5" x14ac:dyDescent="0.25">
      <c r="B49" s="43"/>
      <c r="C49" s="44">
        <v>54</v>
      </c>
      <c r="D49" s="39"/>
      <c r="E49" s="46" t="s">
        <v>108</v>
      </c>
      <c r="F49" s="47"/>
      <c r="G49" s="51">
        <v>624</v>
      </c>
      <c r="H49" s="51">
        <v>620.20000000000005</v>
      </c>
      <c r="I49" s="52">
        <f t="shared" si="0"/>
        <v>99.391025641025649</v>
      </c>
    </row>
    <row r="50" spans="2:9" s="48" customFormat="1" ht="51" x14ac:dyDescent="0.25">
      <c r="B50" s="43"/>
      <c r="C50" s="44"/>
      <c r="D50" s="39">
        <v>5445</v>
      </c>
      <c r="E50" s="46" t="s">
        <v>109</v>
      </c>
      <c r="F50" s="47"/>
      <c r="G50" s="51"/>
      <c r="H50" s="51">
        <v>620.20000000000005</v>
      </c>
      <c r="I50" s="52"/>
    </row>
    <row r="51" spans="2:9" s="40" customFormat="1" ht="25.5" x14ac:dyDescent="0.25">
      <c r="B51" s="127">
        <v>152002</v>
      </c>
      <c r="C51" s="128"/>
      <c r="D51" s="129"/>
      <c r="E51" s="49" t="s">
        <v>110</v>
      </c>
      <c r="F51" s="41"/>
      <c r="G51" s="53">
        <v>181630</v>
      </c>
      <c r="H51" s="53">
        <v>31083.69</v>
      </c>
      <c r="I51" s="54">
        <f t="shared" si="0"/>
        <v>17.113742223201012</v>
      </c>
    </row>
    <row r="52" spans="2:9" s="40" customFormat="1" ht="25.5" x14ac:dyDescent="0.25">
      <c r="B52" s="127">
        <v>15200201</v>
      </c>
      <c r="C52" s="128"/>
      <c r="D52" s="129"/>
      <c r="E52" s="49" t="s">
        <v>110</v>
      </c>
      <c r="F52" s="41"/>
      <c r="G52" s="53">
        <v>28622</v>
      </c>
      <c r="H52" s="53">
        <v>14026.35</v>
      </c>
      <c r="I52" s="54">
        <f t="shared" si="0"/>
        <v>49.005485291034866</v>
      </c>
    </row>
    <row r="53" spans="2:9" s="40" customFormat="1" x14ac:dyDescent="0.25">
      <c r="B53" s="124">
        <v>11</v>
      </c>
      <c r="C53" s="125"/>
      <c r="D53" s="126"/>
      <c r="E53" s="39" t="s">
        <v>71</v>
      </c>
      <c r="F53" s="41"/>
      <c r="G53" s="50">
        <v>27122</v>
      </c>
      <c r="H53" s="50">
        <v>14026.35</v>
      </c>
      <c r="I53" s="52">
        <f t="shared" si="0"/>
        <v>51.715765798982382</v>
      </c>
    </row>
    <row r="54" spans="2:9" s="40" customFormat="1" x14ac:dyDescent="0.25">
      <c r="B54" s="43"/>
      <c r="C54" s="44">
        <v>32</v>
      </c>
      <c r="D54" s="39"/>
      <c r="E54" s="45" t="s">
        <v>84</v>
      </c>
      <c r="F54" s="41"/>
      <c r="G54" s="50">
        <v>18092</v>
      </c>
      <c r="H54" s="50">
        <v>8282.74</v>
      </c>
      <c r="I54" s="52">
        <f t="shared" si="0"/>
        <v>45.78122927260668</v>
      </c>
    </row>
    <row r="55" spans="2:9" s="40" customFormat="1" x14ac:dyDescent="0.25">
      <c r="B55" s="43"/>
      <c r="C55" s="44"/>
      <c r="D55" s="39">
        <v>3211</v>
      </c>
      <c r="E55" s="45" t="s">
        <v>85</v>
      </c>
      <c r="F55" s="41"/>
      <c r="G55" s="50"/>
      <c r="H55" s="50">
        <v>1543.18</v>
      </c>
      <c r="I55" s="52"/>
    </row>
    <row r="56" spans="2:9" s="48" customFormat="1" ht="25.5" x14ac:dyDescent="0.25">
      <c r="B56" s="43"/>
      <c r="C56" s="44"/>
      <c r="D56" s="39">
        <v>3213</v>
      </c>
      <c r="E56" s="46" t="s">
        <v>87</v>
      </c>
      <c r="F56" s="47"/>
      <c r="G56" s="51"/>
      <c r="H56" s="51">
        <v>105</v>
      </c>
      <c r="I56" s="52"/>
    </row>
    <row r="57" spans="2:9" s="48" customFormat="1" ht="25.5" x14ac:dyDescent="0.25">
      <c r="B57" s="43"/>
      <c r="C57" s="44"/>
      <c r="D57" s="39">
        <v>3221</v>
      </c>
      <c r="E57" s="46" t="s">
        <v>88</v>
      </c>
      <c r="F57" s="47"/>
      <c r="G57" s="51"/>
      <c r="H57" s="51">
        <v>1258.76</v>
      </c>
      <c r="I57" s="52"/>
    </row>
    <row r="58" spans="2:9" s="48" customFormat="1" ht="25.5" x14ac:dyDescent="0.25">
      <c r="B58" s="43"/>
      <c r="C58" s="44"/>
      <c r="D58" s="39">
        <v>3224</v>
      </c>
      <c r="E58" s="46" t="s">
        <v>90</v>
      </c>
      <c r="F58" s="47"/>
      <c r="G58" s="51"/>
      <c r="H58" s="51">
        <v>3473.22</v>
      </c>
      <c r="I58" s="52"/>
    </row>
    <row r="59" spans="2:9" s="48" customFormat="1" ht="25.5" x14ac:dyDescent="0.25">
      <c r="B59" s="43"/>
      <c r="C59" s="44"/>
      <c r="D59" s="39">
        <v>3232</v>
      </c>
      <c r="E59" s="46" t="s">
        <v>93</v>
      </c>
      <c r="F59" s="47"/>
      <c r="G59" s="51"/>
      <c r="H59" s="51">
        <v>375</v>
      </c>
      <c r="I59" s="52"/>
    </row>
    <row r="60" spans="2:9" s="40" customFormat="1" x14ac:dyDescent="0.25">
      <c r="B60" s="43"/>
      <c r="C60" s="44"/>
      <c r="D60" s="39">
        <v>3237</v>
      </c>
      <c r="E60" s="45" t="s">
        <v>97</v>
      </c>
      <c r="F60" s="41"/>
      <c r="G60" s="50"/>
      <c r="H60" s="50">
        <v>151.21</v>
      </c>
      <c r="I60" s="52"/>
    </row>
    <row r="61" spans="2:9" s="40" customFormat="1" x14ac:dyDescent="0.25">
      <c r="B61" s="43"/>
      <c r="C61" s="44"/>
      <c r="D61" s="39">
        <v>3239</v>
      </c>
      <c r="E61" s="45" t="s">
        <v>99</v>
      </c>
      <c r="F61" s="41"/>
      <c r="G61" s="50"/>
      <c r="H61" s="50">
        <v>1376.37</v>
      </c>
      <c r="I61" s="52"/>
    </row>
    <row r="62" spans="2:9" s="48" customFormat="1" ht="25.5" x14ac:dyDescent="0.25">
      <c r="B62" s="43"/>
      <c r="C62" s="44">
        <v>42</v>
      </c>
      <c r="D62" s="39"/>
      <c r="E62" s="46" t="s">
        <v>106</v>
      </c>
      <c r="F62" s="47"/>
      <c r="G62" s="51">
        <v>9030</v>
      </c>
      <c r="H62" s="51">
        <v>5743.61</v>
      </c>
      <c r="I62" s="52">
        <f t="shared" si="0"/>
        <v>63.605869324473971</v>
      </c>
    </row>
    <row r="63" spans="2:9" s="40" customFormat="1" x14ac:dyDescent="0.25">
      <c r="B63" s="43"/>
      <c r="C63" s="44"/>
      <c r="D63" s="39">
        <v>4221</v>
      </c>
      <c r="E63" s="45" t="s">
        <v>107</v>
      </c>
      <c r="F63" s="41"/>
      <c r="G63" s="50"/>
      <c r="H63" s="50">
        <v>3198.85</v>
      </c>
      <c r="I63" s="52"/>
    </row>
    <row r="64" spans="2:9" s="40" customFormat="1" ht="25.5" x14ac:dyDescent="0.25">
      <c r="B64" s="43"/>
      <c r="C64" s="44"/>
      <c r="D64" s="39">
        <v>4227</v>
      </c>
      <c r="E64" s="46" t="s">
        <v>111</v>
      </c>
      <c r="F64" s="47"/>
      <c r="G64" s="51"/>
      <c r="H64" s="51">
        <v>2078.7600000000002</v>
      </c>
      <c r="I64" s="52"/>
    </row>
    <row r="65" spans="2:9" s="48" customFormat="1" ht="25.5" x14ac:dyDescent="0.25">
      <c r="B65" s="43"/>
      <c r="C65" s="44"/>
      <c r="D65" s="39">
        <v>4243</v>
      </c>
      <c r="E65" s="46" t="s">
        <v>112</v>
      </c>
      <c r="F65" s="47"/>
      <c r="G65" s="51"/>
      <c r="H65" s="51">
        <v>466</v>
      </c>
      <c r="I65" s="52"/>
    </row>
    <row r="66" spans="2:9" s="40" customFormat="1" x14ac:dyDescent="0.25">
      <c r="B66" s="43">
        <v>61</v>
      </c>
      <c r="C66" s="44"/>
      <c r="D66" s="39"/>
      <c r="E66" s="45" t="s">
        <v>76</v>
      </c>
      <c r="F66" s="41"/>
      <c r="G66" s="50">
        <v>1500</v>
      </c>
      <c r="H66" s="50">
        <v>0</v>
      </c>
      <c r="I66" s="52">
        <f t="shared" si="0"/>
        <v>0</v>
      </c>
    </row>
    <row r="67" spans="2:9" s="48" customFormat="1" ht="25.5" x14ac:dyDescent="0.25">
      <c r="B67" s="43"/>
      <c r="C67" s="44">
        <v>42</v>
      </c>
      <c r="D67" s="39"/>
      <c r="E67" s="46" t="s">
        <v>106</v>
      </c>
      <c r="F67" s="47"/>
      <c r="G67" s="51">
        <v>1500</v>
      </c>
      <c r="H67" s="51">
        <v>0</v>
      </c>
      <c r="I67" s="52">
        <f t="shared" si="0"/>
        <v>0</v>
      </c>
    </row>
    <row r="68" spans="2:9" s="48" customFormat="1" ht="25.5" x14ac:dyDescent="0.25">
      <c r="B68" s="43"/>
      <c r="C68" s="44"/>
      <c r="D68" s="39">
        <v>4243</v>
      </c>
      <c r="E68" s="46" t="s">
        <v>112</v>
      </c>
      <c r="F68" s="47"/>
      <c r="G68" s="51"/>
      <c r="H68" s="51">
        <v>0</v>
      </c>
      <c r="I68" s="52"/>
    </row>
    <row r="69" spans="2:9" s="48" customFormat="1" x14ac:dyDescent="0.25">
      <c r="B69" s="127">
        <v>15200202</v>
      </c>
      <c r="C69" s="128"/>
      <c r="D69" s="129"/>
      <c r="E69" s="49" t="s">
        <v>113</v>
      </c>
      <c r="F69" s="41"/>
      <c r="G69" s="53">
        <v>66362</v>
      </c>
      <c r="H69" s="53">
        <v>0</v>
      </c>
      <c r="I69" s="54">
        <f t="shared" si="0"/>
        <v>0</v>
      </c>
    </row>
    <row r="70" spans="2:9" s="48" customFormat="1" x14ac:dyDescent="0.25">
      <c r="B70" s="124">
        <v>51</v>
      </c>
      <c r="C70" s="125"/>
      <c r="D70" s="126"/>
      <c r="E70" s="39" t="s">
        <v>80</v>
      </c>
      <c r="F70" s="41"/>
      <c r="G70" s="50">
        <v>66362</v>
      </c>
      <c r="H70" s="50">
        <v>0</v>
      </c>
      <c r="I70" s="52">
        <f t="shared" si="0"/>
        <v>0</v>
      </c>
    </row>
    <row r="71" spans="2:9" s="48" customFormat="1" ht="25.5" x14ac:dyDescent="0.25">
      <c r="B71" s="43"/>
      <c r="C71" s="44">
        <v>45</v>
      </c>
      <c r="D71" s="39"/>
      <c r="E71" s="46" t="s">
        <v>114</v>
      </c>
      <c r="F71" s="47"/>
      <c r="G71" s="51">
        <v>66362</v>
      </c>
      <c r="H71" s="51">
        <v>0</v>
      </c>
      <c r="I71" s="52">
        <f t="shared" si="0"/>
        <v>0</v>
      </c>
    </row>
    <row r="72" spans="2:9" s="48" customFormat="1" ht="25.5" x14ac:dyDescent="0.25">
      <c r="B72" s="43"/>
      <c r="C72" s="44"/>
      <c r="D72" s="39">
        <v>4521</v>
      </c>
      <c r="E72" s="46" t="s">
        <v>115</v>
      </c>
      <c r="F72" s="47"/>
      <c r="G72" s="51"/>
      <c r="H72" s="51">
        <v>0</v>
      </c>
      <c r="I72" s="52"/>
    </row>
    <row r="73" spans="2:9" s="48" customFormat="1" x14ac:dyDescent="0.25">
      <c r="B73" s="127">
        <v>15200215</v>
      </c>
      <c r="C73" s="128"/>
      <c r="D73" s="129"/>
      <c r="E73" s="49" t="s">
        <v>116</v>
      </c>
      <c r="F73" s="41"/>
      <c r="G73" s="53">
        <v>42601</v>
      </c>
      <c r="H73" s="53">
        <v>6797.31</v>
      </c>
      <c r="I73" s="54">
        <f t="shared" ref="I73:I136" si="1">H73/G73*100</f>
        <v>15.955752212389381</v>
      </c>
    </row>
    <row r="74" spans="2:9" s="48" customFormat="1" x14ac:dyDescent="0.25">
      <c r="B74" s="124">
        <v>11</v>
      </c>
      <c r="C74" s="125"/>
      <c r="D74" s="126"/>
      <c r="E74" s="39" t="s">
        <v>71</v>
      </c>
      <c r="F74" s="41"/>
      <c r="G74" s="50">
        <v>16188</v>
      </c>
      <c r="H74" s="50">
        <v>3787.57</v>
      </c>
      <c r="I74" s="52">
        <f t="shared" si="1"/>
        <v>23.397393130714111</v>
      </c>
    </row>
    <row r="75" spans="2:9" s="48" customFormat="1" x14ac:dyDescent="0.25">
      <c r="B75" s="43"/>
      <c r="C75" s="44">
        <v>32</v>
      </c>
      <c r="D75" s="39"/>
      <c r="E75" s="46" t="s">
        <v>84</v>
      </c>
      <c r="F75" s="47"/>
      <c r="G75" s="51">
        <v>16188</v>
      </c>
      <c r="H75" s="51">
        <v>3787.57</v>
      </c>
      <c r="I75" s="52">
        <f t="shared" si="1"/>
        <v>23.397393130714111</v>
      </c>
    </row>
    <row r="76" spans="2:9" s="48" customFormat="1" ht="25.5" x14ac:dyDescent="0.25">
      <c r="B76" s="43"/>
      <c r="C76" s="44"/>
      <c r="D76" s="39">
        <v>3231</v>
      </c>
      <c r="E76" s="46" t="s">
        <v>92</v>
      </c>
      <c r="F76" s="47"/>
      <c r="G76" s="51"/>
      <c r="H76" s="51">
        <v>290</v>
      </c>
      <c r="I76" s="52"/>
    </row>
    <row r="77" spans="2:9" s="48" customFormat="1" x14ac:dyDescent="0.25">
      <c r="B77" s="43"/>
      <c r="C77" s="44"/>
      <c r="D77" s="39">
        <v>3237</v>
      </c>
      <c r="E77" s="46" t="s">
        <v>97</v>
      </c>
      <c r="F77" s="47"/>
      <c r="G77" s="51"/>
      <c r="H77" s="51">
        <v>2087.12</v>
      </c>
      <c r="I77" s="52"/>
    </row>
    <row r="78" spans="2:9" s="48" customFormat="1" x14ac:dyDescent="0.25">
      <c r="B78" s="43"/>
      <c r="C78" s="44"/>
      <c r="D78" s="39">
        <v>3239</v>
      </c>
      <c r="E78" s="46" t="s">
        <v>99</v>
      </c>
      <c r="F78" s="47"/>
      <c r="G78" s="51"/>
      <c r="H78" s="51">
        <v>1311.27</v>
      </c>
      <c r="I78" s="52"/>
    </row>
    <row r="79" spans="2:9" s="48" customFormat="1" ht="25.5" x14ac:dyDescent="0.25">
      <c r="B79" s="43"/>
      <c r="C79" s="44"/>
      <c r="D79" s="39">
        <v>3241</v>
      </c>
      <c r="E79" s="46" t="s">
        <v>117</v>
      </c>
      <c r="F79" s="47"/>
      <c r="G79" s="51"/>
      <c r="H79" s="51">
        <v>99.18</v>
      </c>
      <c r="I79" s="52"/>
    </row>
    <row r="80" spans="2:9" s="48" customFormat="1" x14ac:dyDescent="0.25">
      <c r="B80" s="43"/>
      <c r="C80" s="44"/>
      <c r="D80" s="39">
        <v>3292</v>
      </c>
      <c r="E80" s="46" t="s">
        <v>100</v>
      </c>
      <c r="F80" s="47"/>
      <c r="G80" s="51"/>
      <c r="H80" s="51">
        <v>0</v>
      </c>
      <c r="I80" s="52"/>
    </row>
    <row r="81" spans="2:9" s="48" customFormat="1" x14ac:dyDescent="0.25">
      <c r="B81" s="43">
        <v>51</v>
      </c>
      <c r="C81" s="44"/>
      <c r="D81" s="39"/>
      <c r="E81" s="46" t="s">
        <v>80</v>
      </c>
      <c r="F81" s="47"/>
      <c r="G81" s="51">
        <v>13538</v>
      </c>
      <c r="H81" s="51">
        <v>1963.17</v>
      </c>
      <c r="I81" s="52">
        <f t="shared" si="1"/>
        <v>14.501181858472448</v>
      </c>
    </row>
    <row r="82" spans="2:9" s="48" customFormat="1" x14ac:dyDescent="0.25">
      <c r="B82" s="43"/>
      <c r="C82" s="44">
        <v>32</v>
      </c>
      <c r="D82" s="39"/>
      <c r="E82" s="46" t="s">
        <v>84</v>
      </c>
      <c r="F82" s="47"/>
      <c r="G82" s="51">
        <v>13538</v>
      </c>
      <c r="H82" s="51">
        <v>1963.17</v>
      </c>
      <c r="I82" s="52">
        <f t="shared" si="1"/>
        <v>14.501181858472448</v>
      </c>
    </row>
    <row r="83" spans="2:9" s="48" customFormat="1" x14ac:dyDescent="0.25">
      <c r="B83" s="43"/>
      <c r="C83" s="44"/>
      <c r="D83" s="39">
        <v>3211</v>
      </c>
      <c r="E83" s="46" t="s">
        <v>85</v>
      </c>
      <c r="F83" s="47"/>
      <c r="G83" s="51"/>
      <c r="H83" s="51">
        <v>1402.7</v>
      </c>
      <c r="I83" s="52"/>
    </row>
    <row r="84" spans="2:9" s="48" customFormat="1" x14ac:dyDescent="0.25">
      <c r="B84" s="43"/>
      <c r="C84" s="44"/>
      <c r="D84" s="39">
        <v>3223</v>
      </c>
      <c r="E84" s="46" t="s">
        <v>89</v>
      </c>
      <c r="F84" s="47"/>
      <c r="G84" s="51"/>
      <c r="H84" s="51">
        <v>101.12</v>
      </c>
      <c r="I84" s="52"/>
    </row>
    <row r="85" spans="2:9" s="48" customFormat="1" x14ac:dyDescent="0.25">
      <c r="B85" s="43"/>
      <c r="C85" s="44"/>
      <c r="D85" s="39">
        <v>3234</v>
      </c>
      <c r="E85" s="46" t="s">
        <v>94</v>
      </c>
      <c r="F85" s="47"/>
      <c r="G85" s="51"/>
      <c r="H85" s="51">
        <v>21</v>
      </c>
      <c r="I85" s="52"/>
    </row>
    <row r="86" spans="2:9" s="48" customFormat="1" x14ac:dyDescent="0.25">
      <c r="B86" s="43"/>
      <c r="C86" s="44"/>
      <c r="D86" s="39">
        <v>3237</v>
      </c>
      <c r="E86" s="46" t="s">
        <v>97</v>
      </c>
      <c r="F86" s="47"/>
      <c r="G86" s="51"/>
      <c r="H86" s="51">
        <v>370.5</v>
      </c>
      <c r="I86" s="52"/>
    </row>
    <row r="87" spans="2:9" s="48" customFormat="1" x14ac:dyDescent="0.25">
      <c r="B87" s="43"/>
      <c r="C87" s="44"/>
      <c r="D87" s="39">
        <v>3239</v>
      </c>
      <c r="E87" s="46" t="s">
        <v>99</v>
      </c>
      <c r="F87" s="47"/>
      <c r="G87" s="51"/>
      <c r="H87" s="51">
        <v>0</v>
      </c>
      <c r="I87" s="52"/>
    </row>
    <row r="88" spans="2:9" s="48" customFormat="1" ht="25.5" x14ac:dyDescent="0.25">
      <c r="B88" s="43"/>
      <c r="C88" s="44"/>
      <c r="D88" s="39">
        <v>3241</v>
      </c>
      <c r="E88" s="46" t="s">
        <v>117</v>
      </c>
      <c r="F88" s="47"/>
      <c r="G88" s="51"/>
      <c r="H88" s="51">
        <v>0</v>
      </c>
      <c r="I88" s="52"/>
    </row>
    <row r="89" spans="2:9" s="48" customFormat="1" x14ac:dyDescent="0.25">
      <c r="B89" s="43"/>
      <c r="C89" s="44"/>
      <c r="D89" s="39">
        <v>3292</v>
      </c>
      <c r="E89" s="46" t="s">
        <v>100</v>
      </c>
      <c r="F89" s="47"/>
      <c r="G89" s="51"/>
      <c r="H89" s="51">
        <v>59.85</v>
      </c>
      <c r="I89" s="52"/>
    </row>
    <row r="90" spans="2:9" s="48" customFormat="1" x14ac:dyDescent="0.25">
      <c r="B90" s="43"/>
      <c r="C90" s="44"/>
      <c r="D90" s="39">
        <v>3295</v>
      </c>
      <c r="E90" s="46" t="s">
        <v>102</v>
      </c>
      <c r="F90" s="47"/>
      <c r="G90" s="51"/>
      <c r="H90" s="51">
        <v>8</v>
      </c>
      <c r="I90" s="52"/>
    </row>
    <row r="91" spans="2:9" s="48" customFormat="1" x14ac:dyDescent="0.25">
      <c r="B91" s="43">
        <v>44</v>
      </c>
      <c r="C91" s="44"/>
      <c r="D91" s="39"/>
      <c r="E91" s="46" t="s">
        <v>77</v>
      </c>
      <c r="F91" s="47"/>
      <c r="G91" s="51">
        <v>3318</v>
      </c>
      <c r="H91" s="51">
        <v>0</v>
      </c>
      <c r="I91" s="52">
        <f t="shared" si="1"/>
        <v>0</v>
      </c>
    </row>
    <row r="92" spans="2:9" s="48" customFormat="1" x14ac:dyDescent="0.25">
      <c r="B92" s="43"/>
      <c r="C92" s="44">
        <v>32</v>
      </c>
      <c r="D92" s="39"/>
      <c r="E92" s="46" t="s">
        <v>84</v>
      </c>
      <c r="F92" s="47"/>
      <c r="G92" s="51">
        <v>3318</v>
      </c>
      <c r="H92" s="51">
        <v>0</v>
      </c>
      <c r="I92" s="52">
        <f t="shared" si="1"/>
        <v>0</v>
      </c>
    </row>
    <row r="93" spans="2:9" s="48" customFormat="1" x14ac:dyDescent="0.25">
      <c r="B93" s="43"/>
      <c r="C93" s="44"/>
      <c r="D93" s="39">
        <v>3233</v>
      </c>
      <c r="E93" s="46" t="s">
        <v>118</v>
      </c>
      <c r="F93" s="47"/>
      <c r="G93" s="51"/>
      <c r="H93" s="51">
        <v>0</v>
      </c>
      <c r="I93" s="52"/>
    </row>
    <row r="94" spans="2:9" s="48" customFormat="1" x14ac:dyDescent="0.25">
      <c r="B94" s="43"/>
      <c r="C94" s="44"/>
      <c r="D94" s="39">
        <v>3237</v>
      </c>
      <c r="E94" s="46" t="s">
        <v>97</v>
      </c>
      <c r="F94" s="47"/>
      <c r="G94" s="51"/>
      <c r="H94" s="51">
        <v>0</v>
      </c>
      <c r="I94" s="52"/>
    </row>
    <row r="95" spans="2:9" s="48" customFormat="1" x14ac:dyDescent="0.25">
      <c r="B95" s="43">
        <v>31</v>
      </c>
      <c r="C95" s="44"/>
      <c r="D95" s="39"/>
      <c r="E95" s="46" t="s">
        <v>78</v>
      </c>
      <c r="F95" s="47"/>
      <c r="G95" s="51">
        <v>9557</v>
      </c>
      <c r="H95" s="51">
        <v>1046.57</v>
      </c>
      <c r="I95" s="52">
        <f t="shared" si="1"/>
        <v>10.950821387464686</v>
      </c>
    </row>
    <row r="96" spans="2:9" s="48" customFormat="1" x14ac:dyDescent="0.25">
      <c r="B96" s="43"/>
      <c r="C96" s="44">
        <v>32</v>
      </c>
      <c r="D96" s="39"/>
      <c r="E96" s="46" t="s">
        <v>84</v>
      </c>
      <c r="F96" s="47"/>
      <c r="G96" s="51">
        <v>9557</v>
      </c>
      <c r="H96" s="51">
        <v>1046.57</v>
      </c>
      <c r="I96" s="52">
        <f t="shared" si="1"/>
        <v>10.950821387464686</v>
      </c>
    </row>
    <row r="97" spans="2:9" s="48" customFormat="1" x14ac:dyDescent="0.25">
      <c r="B97" s="43"/>
      <c r="C97" s="44"/>
      <c r="D97" s="39">
        <v>3211</v>
      </c>
      <c r="E97" s="46" t="s">
        <v>85</v>
      </c>
      <c r="F97" s="47"/>
      <c r="G97" s="51"/>
      <c r="H97" s="51">
        <v>238.91</v>
      </c>
      <c r="I97" s="52"/>
    </row>
    <row r="98" spans="2:9" s="48" customFormat="1" ht="25.5" x14ac:dyDescent="0.25">
      <c r="B98" s="43"/>
      <c r="C98" s="44"/>
      <c r="D98" s="39">
        <v>3221</v>
      </c>
      <c r="E98" s="46" t="s">
        <v>88</v>
      </c>
      <c r="F98" s="47"/>
      <c r="G98" s="51"/>
      <c r="H98" s="51">
        <v>0</v>
      </c>
      <c r="I98" s="52"/>
    </row>
    <row r="99" spans="2:9" s="48" customFormat="1" x14ac:dyDescent="0.25">
      <c r="B99" s="43"/>
      <c r="C99" s="44"/>
      <c r="D99" s="39">
        <v>3223</v>
      </c>
      <c r="E99" s="46" t="s">
        <v>89</v>
      </c>
      <c r="F99" s="47"/>
      <c r="G99" s="51"/>
      <c r="H99" s="51">
        <v>270.94</v>
      </c>
      <c r="I99" s="52"/>
    </row>
    <row r="100" spans="2:9" s="48" customFormat="1" ht="25.5" x14ac:dyDescent="0.25">
      <c r="B100" s="43"/>
      <c r="C100" s="44"/>
      <c r="D100" s="39">
        <v>3224</v>
      </c>
      <c r="E100" s="46" t="s">
        <v>90</v>
      </c>
      <c r="F100" s="47"/>
      <c r="G100" s="51"/>
      <c r="H100" s="51">
        <v>415.32</v>
      </c>
      <c r="I100" s="52"/>
    </row>
    <row r="101" spans="2:9" s="48" customFormat="1" x14ac:dyDescent="0.25">
      <c r="B101" s="43"/>
      <c r="C101" s="44"/>
      <c r="D101" s="39">
        <v>3233</v>
      </c>
      <c r="E101" s="46" t="s">
        <v>118</v>
      </c>
      <c r="F101" s="47"/>
      <c r="G101" s="51"/>
      <c r="H101" s="51">
        <v>0</v>
      </c>
      <c r="I101" s="52"/>
    </row>
    <row r="102" spans="2:9" s="48" customFormat="1" x14ac:dyDescent="0.25">
      <c r="B102" s="43"/>
      <c r="C102" s="44"/>
      <c r="D102" s="39">
        <v>3234</v>
      </c>
      <c r="E102" s="46" t="s">
        <v>94</v>
      </c>
      <c r="F102" s="47"/>
      <c r="G102" s="51"/>
      <c r="H102" s="51">
        <v>121.4</v>
      </c>
      <c r="I102" s="52"/>
    </row>
    <row r="103" spans="2:9" s="48" customFormat="1" x14ac:dyDescent="0.25">
      <c r="B103" s="43"/>
      <c r="C103" s="44"/>
      <c r="D103" s="39">
        <v>3235</v>
      </c>
      <c r="E103" s="46" t="s">
        <v>95</v>
      </c>
      <c r="F103" s="47"/>
      <c r="G103" s="51"/>
      <c r="H103" s="51">
        <v>0</v>
      </c>
      <c r="I103" s="52"/>
    </row>
    <row r="104" spans="2:9" s="48" customFormat="1" x14ac:dyDescent="0.25">
      <c r="B104" s="43"/>
      <c r="C104" s="44"/>
      <c r="D104" s="39">
        <v>3237</v>
      </c>
      <c r="E104" s="46" t="s">
        <v>97</v>
      </c>
      <c r="F104" s="47"/>
      <c r="G104" s="51"/>
      <c r="H104" s="51">
        <v>0</v>
      </c>
      <c r="I104" s="52"/>
    </row>
    <row r="105" spans="2:9" s="48" customFormat="1" ht="25.5" x14ac:dyDescent="0.25">
      <c r="B105" s="43"/>
      <c r="C105" s="44"/>
      <c r="D105" s="39">
        <v>3241</v>
      </c>
      <c r="E105" s="46" t="s">
        <v>117</v>
      </c>
      <c r="F105" s="47"/>
      <c r="G105" s="51"/>
      <c r="H105" s="51">
        <v>0</v>
      </c>
      <c r="I105" s="52"/>
    </row>
    <row r="106" spans="2:9" s="48" customFormat="1" x14ac:dyDescent="0.25">
      <c r="B106" s="43"/>
      <c r="C106" s="44"/>
      <c r="D106" s="39">
        <v>3292</v>
      </c>
      <c r="E106" s="46" t="s">
        <v>100</v>
      </c>
      <c r="F106" s="47"/>
      <c r="G106" s="51"/>
      <c r="H106" s="51">
        <v>0</v>
      </c>
      <c r="I106" s="52"/>
    </row>
    <row r="107" spans="2:9" s="48" customFormat="1" x14ac:dyDescent="0.25">
      <c r="B107" s="43"/>
      <c r="C107" s="44"/>
      <c r="D107" s="39">
        <v>3293</v>
      </c>
      <c r="E107" s="46" t="s">
        <v>101</v>
      </c>
      <c r="F107" s="47"/>
      <c r="G107" s="51"/>
      <c r="H107" s="51">
        <v>0</v>
      </c>
      <c r="I107" s="52"/>
    </row>
    <row r="108" spans="2:9" s="48" customFormat="1" x14ac:dyDescent="0.25">
      <c r="B108" s="127">
        <v>15200216</v>
      </c>
      <c r="C108" s="128"/>
      <c r="D108" s="129"/>
      <c r="E108" s="49" t="s">
        <v>119</v>
      </c>
      <c r="F108" s="41"/>
      <c r="G108" s="53">
        <v>36634</v>
      </c>
      <c r="H108" s="53">
        <v>9019.83</v>
      </c>
      <c r="I108" s="54">
        <f t="shared" si="1"/>
        <v>24.621471856745099</v>
      </c>
    </row>
    <row r="109" spans="2:9" s="48" customFormat="1" x14ac:dyDescent="0.25">
      <c r="B109" s="124">
        <v>11</v>
      </c>
      <c r="C109" s="125"/>
      <c r="D109" s="126"/>
      <c r="E109" s="39" t="s">
        <v>71</v>
      </c>
      <c r="F109" s="41"/>
      <c r="G109" s="50">
        <v>2861</v>
      </c>
      <c r="H109" s="50">
        <v>0</v>
      </c>
      <c r="I109" s="52">
        <f t="shared" si="1"/>
        <v>0</v>
      </c>
    </row>
    <row r="110" spans="2:9" s="48" customFormat="1" x14ac:dyDescent="0.25">
      <c r="B110" s="43"/>
      <c r="C110" s="44">
        <v>32</v>
      </c>
      <c r="D110" s="39"/>
      <c r="E110" s="46" t="s">
        <v>84</v>
      </c>
      <c r="F110" s="47"/>
      <c r="G110" s="51">
        <v>2861</v>
      </c>
      <c r="H110" s="51">
        <v>0</v>
      </c>
      <c r="I110" s="52">
        <f t="shared" si="1"/>
        <v>0</v>
      </c>
    </row>
    <row r="111" spans="2:9" s="48" customFormat="1" ht="25.5" x14ac:dyDescent="0.25">
      <c r="B111" s="43"/>
      <c r="C111" s="44"/>
      <c r="D111" s="39">
        <v>3212</v>
      </c>
      <c r="E111" s="46" t="s">
        <v>86</v>
      </c>
      <c r="F111" s="47"/>
      <c r="G111" s="51"/>
      <c r="H111" s="51">
        <v>0</v>
      </c>
      <c r="I111" s="52"/>
    </row>
    <row r="112" spans="2:9" s="48" customFormat="1" x14ac:dyDescent="0.25">
      <c r="B112" s="43"/>
      <c r="C112" s="44"/>
      <c r="D112" s="39">
        <v>3237</v>
      </c>
      <c r="E112" s="46" t="s">
        <v>97</v>
      </c>
      <c r="F112" s="47"/>
      <c r="G112" s="51"/>
      <c r="H112" s="51">
        <v>0</v>
      </c>
      <c r="I112" s="52"/>
    </row>
    <row r="113" spans="2:9" s="48" customFormat="1" ht="25.5" x14ac:dyDescent="0.25">
      <c r="B113" s="43"/>
      <c r="C113" s="44"/>
      <c r="D113" s="39">
        <v>3241</v>
      </c>
      <c r="E113" s="46" t="s">
        <v>117</v>
      </c>
      <c r="F113" s="47"/>
      <c r="G113" s="51"/>
      <c r="H113" s="51">
        <v>0</v>
      </c>
      <c r="I113" s="52"/>
    </row>
    <row r="114" spans="2:9" s="48" customFormat="1" x14ac:dyDescent="0.25">
      <c r="B114" s="43">
        <v>51</v>
      </c>
      <c r="C114" s="44"/>
      <c r="D114" s="39"/>
      <c r="E114" s="46" t="s">
        <v>80</v>
      </c>
      <c r="F114" s="47"/>
      <c r="G114" s="51">
        <v>16491</v>
      </c>
      <c r="H114" s="51">
        <v>2369.83</v>
      </c>
      <c r="I114" s="52">
        <f t="shared" si="1"/>
        <v>14.370444484870534</v>
      </c>
    </row>
    <row r="115" spans="2:9" s="48" customFormat="1" x14ac:dyDescent="0.25">
      <c r="B115" s="43"/>
      <c r="C115" s="44">
        <v>32</v>
      </c>
      <c r="D115" s="39"/>
      <c r="E115" s="46" t="s">
        <v>84</v>
      </c>
      <c r="F115" s="47"/>
      <c r="G115" s="51">
        <v>16491</v>
      </c>
      <c r="H115" s="51">
        <v>2369.83</v>
      </c>
      <c r="I115" s="52">
        <f t="shared" si="1"/>
        <v>14.370444484870534</v>
      </c>
    </row>
    <row r="116" spans="2:9" s="48" customFormat="1" ht="25.5" x14ac:dyDescent="0.25">
      <c r="B116" s="43"/>
      <c r="C116" s="44"/>
      <c r="D116" s="39">
        <v>3212</v>
      </c>
      <c r="E116" s="46" t="s">
        <v>86</v>
      </c>
      <c r="F116" s="47"/>
      <c r="G116" s="51"/>
      <c r="H116" s="51">
        <v>0</v>
      </c>
      <c r="I116" s="52"/>
    </row>
    <row r="117" spans="2:9" s="48" customFormat="1" ht="25.5" x14ac:dyDescent="0.25">
      <c r="B117" s="43"/>
      <c r="C117" s="44"/>
      <c r="D117" s="39">
        <v>3232</v>
      </c>
      <c r="E117" s="46" t="s">
        <v>93</v>
      </c>
      <c r="F117" s="47"/>
      <c r="G117" s="51"/>
      <c r="H117" s="51">
        <v>0</v>
      </c>
      <c r="I117" s="52"/>
    </row>
    <row r="118" spans="2:9" s="48" customFormat="1" x14ac:dyDescent="0.25">
      <c r="B118" s="43"/>
      <c r="C118" s="44"/>
      <c r="D118" s="39">
        <v>3235</v>
      </c>
      <c r="E118" s="46" t="s">
        <v>95</v>
      </c>
      <c r="F118" s="47"/>
      <c r="G118" s="51"/>
      <c r="H118" s="51">
        <v>266</v>
      </c>
      <c r="I118" s="52"/>
    </row>
    <row r="119" spans="2:9" s="48" customFormat="1" x14ac:dyDescent="0.25">
      <c r="B119" s="43"/>
      <c r="C119" s="44"/>
      <c r="D119" s="39">
        <v>3237</v>
      </c>
      <c r="E119" s="46" t="s">
        <v>97</v>
      </c>
      <c r="F119" s="47"/>
      <c r="G119" s="51"/>
      <c r="H119" s="51">
        <v>2103.83</v>
      </c>
      <c r="I119" s="52"/>
    </row>
    <row r="120" spans="2:9" s="48" customFormat="1" ht="25.5" x14ac:dyDescent="0.25">
      <c r="B120" s="43"/>
      <c r="C120" s="44"/>
      <c r="D120" s="39">
        <v>3241</v>
      </c>
      <c r="E120" s="46" t="s">
        <v>117</v>
      </c>
      <c r="F120" s="47"/>
      <c r="G120" s="51"/>
      <c r="H120" s="51">
        <v>0</v>
      </c>
      <c r="I120" s="52"/>
    </row>
    <row r="121" spans="2:9" s="48" customFormat="1" x14ac:dyDescent="0.25">
      <c r="B121" s="43">
        <v>52</v>
      </c>
      <c r="C121" s="44"/>
      <c r="D121" s="39"/>
      <c r="E121" s="46" t="s">
        <v>120</v>
      </c>
      <c r="F121" s="47"/>
      <c r="G121" s="51">
        <v>3982</v>
      </c>
      <c r="H121" s="51">
        <v>0</v>
      </c>
      <c r="I121" s="52">
        <f t="shared" si="1"/>
        <v>0</v>
      </c>
    </row>
    <row r="122" spans="2:9" s="48" customFormat="1" x14ac:dyDescent="0.25">
      <c r="B122" s="43"/>
      <c r="C122" s="44">
        <v>32</v>
      </c>
      <c r="D122" s="39"/>
      <c r="E122" s="46" t="s">
        <v>84</v>
      </c>
      <c r="F122" s="47"/>
      <c r="G122" s="51">
        <v>3982</v>
      </c>
      <c r="H122" s="51">
        <v>0</v>
      </c>
      <c r="I122" s="52">
        <f t="shared" si="1"/>
        <v>0</v>
      </c>
    </row>
    <row r="123" spans="2:9" s="48" customFormat="1" ht="25.5" x14ac:dyDescent="0.25">
      <c r="B123" s="43"/>
      <c r="C123" s="44"/>
      <c r="D123" s="39">
        <v>3212</v>
      </c>
      <c r="E123" s="46" t="s">
        <v>86</v>
      </c>
      <c r="F123" s="47"/>
      <c r="G123" s="51"/>
      <c r="H123" s="51">
        <v>0</v>
      </c>
      <c r="I123" s="52"/>
    </row>
    <row r="124" spans="2:9" s="48" customFormat="1" ht="25.5" x14ac:dyDescent="0.25">
      <c r="B124" s="43"/>
      <c r="C124" s="44"/>
      <c r="D124" s="39">
        <v>3224</v>
      </c>
      <c r="E124" s="46" t="s">
        <v>90</v>
      </c>
      <c r="F124" s="47"/>
      <c r="G124" s="51"/>
      <c r="H124" s="51">
        <v>0</v>
      </c>
      <c r="I124" s="52"/>
    </row>
    <row r="125" spans="2:9" s="48" customFormat="1" ht="25.5" x14ac:dyDescent="0.25">
      <c r="B125" s="43"/>
      <c r="C125" s="44"/>
      <c r="D125" s="39">
        <v>3232</v>
      </c>
      <c r="E125" s="46" t="s">
        <v>93</v>
      </c>
      <c r="F125" s="47"/>
      <c r="G125" s="51"/>
      <c r="H125" s="51">
        <v>0</v>
      </c>
      <c r="I125" s="52"/>
    </row>
    <row r="126" spans="2:9" s="48" customFormat="1" x14ac:dyDescent="0.25">
      <c r="B126" s="43"/>
      <c r="C126" s="44"/>
      <c r="D126" s="39">
        <v>3237</v>
      </c>
      <c r="E126" s="46" t="s">
        <v>97</v>
      </c>
      <c r="F126" s="47"/>
      <c r="G126" s="51"/>
      <c r="H126" s="51">
        <v>0</v>
      </c>
      <c r="I126" s="52"/>
    </row>
    <row r="127" spans="2:9" s="48" customFormat="1" ht="25.5" x14ac:dyDescent="0.25">
      <c r="B127" s="43"/>
      <c r="C127" s="44"/>
      <c r="D127" s="39">
        <v>3241</v>
      </c>
      <c r="E127" s="46" t="s">
        <v>117</v>
      </c>
      <c r="F127" s="47"/>
      <c r="G127" s="51"/>
      <c r="H127" s="51">
        <v>0</v>
      </c>
      <c r="I127" s="52"/>
    </row>
    <row r="128" spans="2:9" s="48" customFormat="1" x14ac:dyDescent="0.25">
      <c r="B128" s="43">
        <v>53</v>
      </c>
      <c r="C128" s="44"/>
      <c r="D128" s="39"/>
      <c r="E128" s="46" t="s">
        <v>79</v>
      </c>
      <c r="F128" s="47"/>
      <c r="G128" s="51">
        <v>13300</v>
      </c>
      <c r="H128" s="51">
        <v>6650</v>
      </c>
      <c r="I128" s="52">
        <f t="shared" si="1"/>
        <v>50</v>
      </c>
    </row>
    <row r="129" spans="2:9" s="48" customFormat="1" x14ac:dyDescent="0.25">
      <c r="B129" s="43"/>
      <c r="C129" s="44">
        <v>32</v>
      </c>
      <c r="D129" s="39"/>
      <c r="E129" s="46" t="s">
        <v>84</v>
      </c>
      <c r="F129" s="47"/>
      <c r="G129" s="51">
        <v>13300</v>
      </c>
      <c r="H129" s="51">
        <v>6650</v>
      </c>
      <c r="I129" s="52">
        <f t="shared" si="1"/>
        <v>50</v>
      </c>
    </row>
    <row r="130" spans="2:9" s="48" customFormat="1" ht="25.5" x14ac:dyDescent="0.25">
      <c r="B130" s="43"/>
      <c r="C130" s="44"/>
      <c r="D130" s="39">
        <v>3212</v>
      </c>
      <c r="E130" s="46" t="s">
        <v>86</v>
      </c>
      <c r="F130" s="47"/>
      <c r="G130" s="51"/>
      <c r="H130" s="51">
        <v>557.34</v>
      </c>
      <c r="I130" s="52"/>
    </row>
    <row r="131" spans="2:9" s="48" customFormat="1" ht="25.5" x14ac:dyDescent="0.25">
      <c r="B131" s="43"/>
      <c r="C131" s="44"/>
      <c r="D131" s="39">
        <v>3224</v>
      </c>
      <c r="E131" s="46" t="s">
        <v>90</v>
      </c>
      <c r="F131" s="47"/>
      <c r="G131" s="51"/>
      <c r="H131" s="51">
        <v>132.96</v>
      </c>
      <c r="I131" s="52"/>
    </row>
    <row r="132" spans="2:9" s="48" customFormat="1" ht="25.5" x14ac:dyDescent="0.25">
      <c r="B132" s="43"/>
      <c r="C132" s="44"/>
      <c r="D132" s="39">
        <v>3232</v>
      </c>
      <c r="E132" s="46" t="s">
        <v>93</v>
      </c>
      <c r="F132" s="47"/>
      <c r="G132" s="51"/>
      <c r="H132" s="51">
        <v>420</v>
      </c>
      <c r="I132" s="52"/>
    </row>
    <row r="133" spans="2:9" s="48" customFormat="1" x14ac:dyDescent="0.25">
      <c r="B133" s="43"/>
      <c r="C133" s="44"/>
      <c r="D133" s="39">
        <v>3235</v>
      </c>
      <c r="E133" s="46" t="s">
        <v>95</v>
      </c>
      <c r="F133" s="47"/>
      <c r="G133" s="51"/>
      <c r="H133" s="51">
        <v>0</v>
      </c>
      <c r="I133" s="52"/>
    </row>
    <row r="134" spans="2:9" s="48" customFormat="1" x14ac:dyDescent="0.25">
      <c r="B134" s="43"/>
      <c r="C134" s="44"/>
      <c r="D134" s="39">
        <v>3237</v>
      </c>
      <c r="E134" s="46" t="s">
        <v>97</v>
      </c>
      <c r="F134" s="47"/>
      <c r="G134" s="51"/>
      <c r="H134" s="51">
        <v>5539.7</v>
      </c>
      <c r="I134" s="52"/>
    </row>
    <row r="135" spans="2:9" s="48" customFormat="1" x14ac:dyDescent="0.25">
      <c r="B135" s="127">
        <v>15200217</v>
      </c>
      <c r="C135" s="128"/>
      <c r="D135" s="129"/>
      <c r="E135" s="49" t="s">
        <v>121</v>
      </c>
      <c r="F135" s="41"/>
      <c r="G135" s="53">
        <v>5441</v>
      </c>
      <c r="H135" s="53">
        <v>1240.2</v>
      </c>
      <c r="I135" s="54">
        <f t="shared" si="1"/>
        <v>22.793604116890279</v>
      </c>
    </row>
    <row r="136" spans="2:9" s="48" customFormat="1" x14ac:dyDescent="0.25">
      <c r="B136" s="124">
        <v>11</v>
      </c>
      <c r="C136" s="125"/>
      <c r="D136" s="126"/>
      <c r="E136" s="39" t="s">
        <v>71</v>
      </c>
      <c r="F136" s="41"/>
      <c r="G136" s="50">
        <v>2256</v>
      </c>
      <c r="H136" s="50">
        <v>1240.2</v>
      </c>
      <c r="I136" s="52">
        <f t="shared" si="1"/>
        <v>54.973404255319146</v>
      </c>
    </row>
    <row r="137" spans="2:9" s="48" customFormat="1" x14ac:dyDescent="0.25">
      <c r="B137" s="43"/>
      <c r="C137" s="44">
        <v>32</v>
      </c>
      <c r="D137" s="39"/>
      <c r="E137" s="46" t="s">
        <v>84</v>
      </c>
      <c r="F137" s="47"/>
      <c r="G137" s="51">
        <v>2256</v>
      </c>
      <c r="H137" s="51">
        <v>1240.2</v>
      </c>
      <c r="I137" s="52">
        <f t="shared" ref="I137:I148" si="2">H137/G137*100</f>
        <v>54.973404255319146</v>
      </c>
    </row>
    <row r="138" spans="2:9" s="48" customFormat="1" x14ac:dyDescent="0.25">
      <c r="B138" s="43"/>
      <c r="C138" s="44"/>
      <c r="D138" s="39">
        <v>3237</v>
      </c>
      <c r="E138" s="46" t="s">
        <v>97</v>
      </c>
      <c r="F138" s="47"/>
      <c r="G138" s="51"/>
      <c r="H138" s="51">
        <v>269.51</v>
      </c>
      <c r="I138" s="52"/>
    </row>
    <row r="139" spans="2:9" s="48" customFormat="1" x14ac:dyDescent="0.25">
      <c r="B139" s="43"/>
      <c r="C139" s="44"/>
      <c r="D139" s="39">
        <v>3239</v>
      </c>
      <c r="E139" s="46" t="s">
        <v>99</v>
      </c>
      <c r="F139" s="47"/>
      <c r="G139" s="51"/>
      <c r="H139" s="51">
        <v>970.69</v>
      </c>
      <c r="I139" s="52"/>
    </row>
    <row r="140" spans="2:9" s="48" customFormat="1" x14ac:dyDescent="0.25">
      <c r="B140" s="43">
        <v>31</v>
      </c>
      <c r="C140" s="44"/>
      <c r="D140" s="39"/>
      <c r="E140" s="46" t="s">
        <v>78</v>
      </c>
      <c r="F140" s="47"/>
      <c r="G140" s="51">
        <v>3185</v>
      </c>
      <c r="H140" s="51">
        <v>0</v>
      </c>
      <c r="I140" s="52">
        <f t="shared" si="2"/>
        <v>0</v>
      </c>
    </row>
    <row r="141" spans="2:9" s="48" customFormat="1" x14ac:dyDescent="0.25">
      <c r="B141" s="43"/>
      <c r="C141" s="44">
        <v>32</v>
      </c>
      <c r="D141" s="39"/>
      <c r="E141" s="46" t="s">
        <v>84</v>
      </c>
      <c r="F141" s="47"/>
      <c r="G141" s="51">
        <v>3185</v>
      </c>
      <c r="H141" s="51">
        <v>0</v>
      </c>
      <c r="I141" s="52">
        <f t="shared" si="2"/>
        <v>0</v>
      </c>
    </row>
    <row r="142" spans="2:9" s="48" customFormat="1" x14ac:dyDescent="0.25">
      <c r="B142" s="43"/>
      <c r="C142" s="44"/>
      <c r="D142" s="39">
        <v>3239</v>
      </c>
      <c r="E142" s="46" t="s">
        <v>99</v>
      </c>
      <c r="F142" s="47"/>
      <c r="G142" s="51"/>
      <c r="H142" s="51">
        <v>0</v>
      </c>
      <c r="I142" s="52"/>
    </row>
    <row r="143" spans="2:9" s="48" customFormat="1" ht="25.5" x14ac:dyDescent="0.25">
      <c r="B143" s="127">
        <v>15200220</v>
      </c>
      <c r="C143" s="128"/>
      <c r="D143" s="129"/>
      <c r="E143" s="49" t="s">
        <v>122</v>
      </c>
      <c r="F143" s="41"/>
      <c r="G143" s="53">
        <v>1970</v>
      </c>
      <c r="H143" s="53">
        <v>0</v>
      </c>
      <c r="I143" s="54">
        <f t="shared" si="2"/>
        <v>0</v>
      </c>
    </row>
    <row r="144" spans="2:9" s="48" customFormat="1" x14ac:dyDescent="0.25">
      <c r="B144" s="124">
        <v>56</v>
      </c>
      <c r="C144" s="125"/>
      <c r="D144" s="126"/>
      <c r="E144" s="39" t="s">
        <v>123</v>
      </c>
      <c r="F144" s="41"/>
      <c r="G144" s="50">
        <v>1576</v>
      </c>
      <c r="H144" s="50">
        <v>0</v>
      </c>
      <c r="I144" s="52">
        <f t="shared" si="2"/>
        <v>0</v>
      </c>
    </row>
    <row r="145" spans="2:9" s="48" customFormat="1" x14ac:dyDescent="0.25">
      <c r="B145" s="43"/>
      <c r="C145" s="44">
        <v>32</v>
      </c>
      <c r="D145" s="39"/>
      <c r="E145" s="39" t="s">
        <v>84</v>
      </c>
      <c r="F145" s="41"/>
      <c r="G145" s="50">
        <v>1576</v>
      </c>
      <c r="H145" s="50">
        <v>0</v>
      </c>
      <c r="I145" s="52">
        <f t="shared" si="2"/>
        <v>0</v>
      </c>
    </row>
    <row r="146" spans="2:9" s="48" customFormat="1" x14ac:dyDescent="0.25">
      <c r="B146" s="43"/>
      <c r="C146" s="44"/>
      <c r="D146" s="39">
        <v>3211</v>
      </c>
      <c r="E146" s="39" t="s">
        <v>85</v>
      </c>
      <c r="F146" s="41"/>
      <c r="G146" s="50"/>
      <c r="H146" s="50">
        <v>0</v>
      </c>
      <c r="I146" s="52"/>
    </row>
    <row r="147" spans="2:9" s="48" customFormat="1" x14ac:dyDescent="0.25">
      <c r="B147" s="43">
        <v>31</v>
      </c>
      <c r="C147" s="44"/>
      <c r="D147" s="39"/>
      <c r="E147" s="39" t="s">
        <v>78</v>
      </c>
      <c r="F147" s="41"/>
      <c r="G147" s="50">
        <v>394</v>
      </c>
      <c r="H147" s="50">
        <v>0</v>
      </c>
      <c r="I147" s="52">
        <f t="shared" si="2"/>
        <v>0</v>
      </c>
    </row>
    <row r="148" spans="2:9" s="48" customFormat="1" x14ac:dyDescent="0.25">
      <c r="B148" s="43"/>
      <c r="C148" s="44">
        <v>32</v>
      </c>
      <c r="D148" s="39"/>
      <c r="E148" s="39" t="s">
        <v>84</v>
      </c>
      <c r="F148" s="41"/>
      <c r="G148" s="50">
        <v>394</v>
      </c>
      <c r="H148" s="50">
        <v>0</v>
      </c>
      <c r="I148" s="52">
        <f t="shared" si="2"/>
        <v>0</v>
      </c>
    </row>
    <row r="149" spans="2:9" s="48" customFormat="1" x14ac:dyDescent="0.25">
      <c r="B149" s="43"/>
      <c r="C149" s="44"/>
      <c r="D149" s="39">
        <v>3211</v>
      </c>
      <c r="E149" s="46" t="s">
        <v>85</v>
      </c>
      <c r="F149" s="47"/>
      <c r="G149" s="51"/>
      <c r="H149" s="51">
        <v>0</v>
      </c>
      <c r="I149" s="52"/>
    </row>
  </sheetData>
  <mergeCells count="23">
    <mergeCell ref="B18:D18"/>
    <mergeCell ref="B8:D8"/>
    <mergeCell ref="B52:D52"/>
    <mergeCell ref="B53:D53"/>
    <mergeCell ref="B51:D51"/>
    <mergeCell ref="B2:I2"/>
    <mergeCell ref="B17:D17"/>
    <mergeCell ref="B4:I4"/>
    <mergeCell ref="B6:E6"/>
    <mergeCell ref="B7:E7"/>
    <mergeCell ref="B9:D9"/>
    <mergeCell ref="B10:D10"/>
    <mergeCell ref="B16:D16"/>
    <mergeCell ref="B69:D69"/>
    <mergeCell ref="B70:D70"/>
    <mergeCell ref="B73:D73"/>
    <mergeCell ref="B74:D74"/>
    <mergeCell ref="B108:D108"/>
    <mergeCell ref="B109:D109"/>
    <mergeCell ref="B135:D135"/>
    <mergeCell ref="B136:D136"/>
    <mergeCell ref="B143:D143"/>
    <mergeCell ref="B144:D144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2023-08-25T08:59:24Z</cp:lastPrinted>
  <dcterms:created xsi:type="dcterms:W3CDTF">2022-08-12T12:51:27Z</dcterms:created>
  <dcterms:modified xsi:type="dcterms:W3CDTF">2023-08-28T07:47:34Z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