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arina\Desktop\PRIJEDLOG PRORAČUNA\UV_plan_2023_2025\2023_za UV i web\"/>
    </mc:Choice>
  </mc:AlternateContent>
  <xr:revisionPtr revIDLastSave="0" documentId="13_ncr:1_{09964EC0-1470-4915-92CB-F8351141C7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POSEBNI DIO" sheetId="7" r:id="rId6"/>
  </sheets>
  <definedNames>
    <definedName name="_xlnm.Print_Area" localSheetId="0">SAŽETAK!$A$1:$J$29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4" i="7" l="1"/>
  <c r="I86" i="7"/>
  <c r="H86" i="7"/>
  <c r="G86" i="7"/>
  <c r="G85" i="7" s="1"/>
  <c r="F86" i="7"/>
  <c r="F85" i="7" s="1"/>
  <c r="I85" i="7"/>
  <c r="H85" i="7"/>
  <c r="I46" i="3"/>
  <c r="I36" i="3"/>
  <c r="I34" i="3"/>
  <c r="G33" i="3"/>
  <c r="G49" i="3"/>
  <c r="G36" i="3"/>
  <c r="G18" i="3"/>
  <c r="F30" i="1"/>
  <c r="I14" i="7"/>
  <c r="I15" i="7"/>
  <c r="H14" i="7"/>
  <c r="H15" i="7"/>
  <c r="F21" i="1" l="1"/>
  <c r="F14" i="1"/>
  <c r="E6" i="5"/>
  <c r="D6" i="5"/>
  <c r="E53" i="7"/>
  <c r="E52" i="7" s="1"/>
  <c r="E51" i="7" s="1"/>
  <c r="E50" i="7" s="1"/>
  <c r="E97" i="7"/>
  <c r="E96" i="7" s="1"/>
  <c r="E95" i="7" s="1"/>
  <c r="E94" i="7" s="1"/>
  <c r="I96" i="7"/>
  <c r="H96" i="7"/>
  <c r="G96" i="7"/>
  <c r="G95" i="7" s="1"/>
  <c r="G94" i="7" s="1"/>
  <c r="F96" i="7"/>
  <c r="F95" i="7" s="1"/>
  <c r="F94" i="7" s="1"/>
  <c r="I95" i="7"/>
  <c r="I94" i="7" s="1"/>
  <c r="H95" i="7"/>
  <c r="H94" i="7" s="1"/>
  <c r="I52" i="7"/>
  <c r="I51" i="7" s="1"/>
  <c r="I50" i="7" s="1"/>
  <c r="H52" i="7"/>
  <c r="H51" i="7" s="1"/>
  <c r="H50" i="7" s="1"/>
  <c r="G52" i="7"/>
  <c r="G51" i="7" s="1"/>
  <c r="G50" i="7" s="1"/>
  <c r="F51" i="7"/>
  <c r="F50" i="7" s="1"/>
  <c r="I56" i="7" l="1"/>
  <c r="I55" i="7" s="1"/>
  <c r="I37" i="7"/>
  <c r="I35" i="7"/>
  <c r="I34" i="7" s="1"/>
  <c r="H38" i="7"/>
  <c r="H37" i="7"/>
  <c r="G38" i="7"/>
  <c r="G37" i="7" s="1"/>
  <c r="G35" i="7"/>
  <c r="G34" i="7" s="1"/>
  <c r="G11" i="7"/>
  <c r="F90" i="7"/>
  <c r="F89" i="7" s="1"/>
  <c r="F88" i="7" s="1"/>
  <c r="F83" i="7"/>
  <c r="F80" i="7"/>
  <c r="F79" i="7" s="1"/>
  <c r="F78" i="7" s="1"/>
  <c r="F77" i="7"/>
  <c r="F76" i="7" s="1"/>
  <c r="F75" i="7"/>
  <c r="F68" i="7"/>
  <c r="F65" i="7"/>
  <c r="F64" i="7" s="1"/>
  <c r="F63" i="7" s="1"/>
  <c r="F62" i="7"/>
  <c r="F61" i="7" s="1"/>
  <c r="F60" i="7"/>
  <c r="F59" i="7" s="1"/>
  <c r="F57" i="7"/>
  <c r="F49" i="7"/>
  <c r="F48" i="7"/>
  <c r="F47" i="7" s="1"/>
  <c r="F46" i="7"/>
  <c r="F45" i="7" s="1"/>
  <c r="F33" i="7"/>
  <c r="F32" i="7"/>
  <c r="F31" i="7"/>
  <c r="F30" i="7" s="1"/>
  <c r="F29" i="7" s="1"/>
  <c r="F25" i="7"/>
  <c r="F24" i="7" s="1"/>
  <c r="F23" i="7"/>
  <c r="F18" i="7"/>
  <c r="F17" i="7" s="1"/>
  <c r="F16" i="7"/>
  <c r="F15" i="7" s="1"/>
  <c r="F14" i="7"/>
  <c r="F13" i="7"/>
  <c r="F12" i="7"/>
  <c r="E90" i="7"/>
  <c r="E89" i="7" s="1"/>
  <c r="E88" i="7" s="1"/>
  <c r="E83" i="7"/>
  <c r="E82" i="7" s="1"/>
  <c r="E81" i="7" s="1"/>
  <c r="E80" i="7"/>
  <c r="E77" i="7"/>
  <c r="E76" i="7" s="1"/>
  <c r="E75" i="7" s="1"/>
  <c r="E74" i="7"/>
  <c r="E73" i="7" s="1"/>
  <c r="E72" i="7" s="1"/>
  <c r="E70" i="7"/>
  <c r="E69" i="7" s="1"/>
  <c r="E68" i="7"/>
  <c r="E65" i="7"/>
  <c r="E64" i="7" s="1"/>
  <c r="E63" i="7" s="1"/>
  <c r="E60" i="7"/>
  <c r="E59" i="7" s="1"/>
  <c r="E58" i="7" s="1"/>
  <c r="E57" i="7"/>
  <c r="E56" i="7" s="1"/>
  <c r="E55" i="7" s="1"/>
  <c r="E49" i="7"/>
  <c r="E47" i="7" s="1"/>
  <c r="E43" i="7"/>
  <c r="E42" i="7" s="1"/>
  <c r="E41" i="7" s="1"/>
  <c r="E38" i="7"/>
  <c r="E37" i="7" s="1"/>
  <c r="E28" i="7"/>
  <c r="E27" i="7" s="1"/>
  <c r="E26" i="7" s="1"/>
  <c r="E25" i="7"/>
  <c r="E24" i="7" s="1"/>
  <c r="E23" i="7"/>
  <c r="E22" i="7" s="1"/>
  <c r="E18" i="7"/>
  <c r="E17" i="7" s="1"/>
  <c r="E16" i="7"/>
  <c r="E15" i="7" s="1"/>
  <c r="E14" i="7"/>
  <c r="E13" i="7"/>
  <c r="E12" i="7"/>
  <c r="E35" i="7"/>
  <c r="E34" i="7" s="1"/>
  <c r="F35" i="7"/>
  <c r="F34" i="7" s="1"/>
  <c r="H35" i="7"/>
  <c r="H34" i="7" s="1"/>
  <c r="F92" i="7"/>
  <c r="F91" i="7" s="1"/>
  <c r="F82" i="7"/>
  <c r="F81" i="7" s="1"/>
  <c r="F73" i="7"/>
  <c r="F72" i="7" s="1"/>
  <c r="F69" i="7"/>
  <c r="F67" i="7"/>
  <c r="F56" i="7"/>
  <c r="F55" i="7" s="1"/>
  <c r="F41" i="7"/>
  <c r="F38" i="7"/>
  <c r="F37" i="7" s="1"/>
  <c r="F27" i="7"/>
  <c r="F26" i="7" s="1"/>
  <c r="F22" i="7"/>
  <c r="E92" i="7"/>
  <c r="E91" i="7" s="1"/>
  <c r="E79" i="7"/>
  <c r="E78" i="7" s="1"/>
  <c r="E67" i="7"/>
  <c r="E61" i="7"/>
  <c r="E45" i="7"/>
  <c r="E32" i="7"/>
  <c r="E30" i="7"/>
  <c r="E29" i="7" s="1"/>
  <c r="G9" i="6"/>
  <c r="F7" i="6"/>
  <c r="F8" i="6"/>
  <c r="F9" i="6"/>
  <c r="E7" i="6"/>
  <c r="E8" i="6"/>
  <c r="E9" i="6"/>
  <c r="C5" i="8"/>
  <c r="C6" i="8"/>
  <c r="B5" i="8"/>
  <c r="B6" i="8"/>
  <c r="C7" i="8"/>
  <c r="B7" i="8"/>
  <c r="C17" i="5"/>
  <c r="C15" i="5"/>
  <c r="C14" i="5" s="1"/>
  <c r="C12" i="5"/>
  <c r="C8" i="5"/>
  <c r="C6" i="5"/>
  <c r="C5" i="5" s="1"/>
  <c r="B17" i="5"/>
  <c r="B14" i="5"/>
  <c r="B15" i="5"/>
  <c r="B12" i="5"/>
  <c r="B8" i="5"/>
  <c r="B5" i="5"/>
  <c r="B6" i="5"/>
  <c r="F18" i="5"/>
  <c r="F16" i="5"/>
  <c r="F11" i="5"/>
  <c r="F9" i="5"/>
  <c r="E18" i="5"/>
  <c r="E16" i="5"/>
  <c r="E11" i="5"/>
  <c r="E9" i="5"/>
  <c r="D16" i="5"/>
  <c r="D11" i="5"/>
  <c r="C18" i="5"/>
  <c r="C16" i="5"/>
  <c r="C11" i="5"/>
  <c r="C10" i="5"/>
  <c r="C9" i="5"/>
  <c r="C7" i="5"/>
  <c r="B18" i="5"/>
  <c r="B16" i="5"/>
  <c r="B13" i="5"/>
  <c r="B11" i="5"/>
  <c r="B10" i="5"/>
  <c r="B9" i="5"/>
  <c r="B7" i="5"/>
  <c r="I60" i="3"/>
  <c r="H60" i="3"/>
  <c r="G60" i="3"/>
  <c r="G59" i="3" s="1"/>
  <c r="G58" i="3" s="1"/>
  <c r="F60" i="3"/>
  <c r="F55" i="3"/>
  <c r="F51" i="3"/>
  <c r="F50" i="3"/>
  <c r="F49" i="3"/>
  <c r="F47" i="3"/>
  <c r="F46" i="3" s="1"/>
  <c r="F45" i="3"/>
  <c r="F44" i="3"/>
  <c r="F43" i="3"/>
  <c r="F42" i="3"/>
  <c r="F40" i="3"/>
  <c r="F39" i="3"/>
  <c r="F38" i="3"/>
  <c r="F37" i="3"/>
  <c r="F35" i="3"/>
  <c r="F34" i="3" s="1"/>
  <c r="E60" i="3"/>
  <c r="E54" i="3"/>
  <c r="E55" i="3"/>
  <c r="E52" i="3"/>
  <c r="E50" i="3"/>
  <c r="E47" i="3"/>
  <c r="E44" i="3"/>
  <c r="E42" i="3"/>
  <c r="E41" i="3"/>
  <c r="E40" i="3"/>
  <c r="E39" i="3"/>
  <c r="E38" i="3"/>
  <c r="E37" i="3"/>
  <c r="E35" i="3"/>
  <c r="F29" i="3"/>
  <c r="F28" i="3"/>
  <c r="E29" i="3"/>
  <c r="E28" i="3"/>
  <c r="E27" i="3"/>
  <c r="I18" i="3"/>
  <c r="I15" i="3"/>
  <c r="I13" i="3"/>
  <c r="I11" i="3"/>
  <c r="H18" i="3"/>
  <c r="H15" i="3"/>
  <c r="H13" i="3"/>
  <c r="H11" i="3"/>
  <c r="G15" i="3"/>
  <c r="G13" i="3"/>
  <c r="G11" i="3"/>
  <c r="F20" i="3"/>
  <c r="F19" i="3" s="1"/>
  <c r="F18" i="3"/>
  <c r="F15" i="3"/>
  <c r="F11" i="3"/>
  <c r="E21" i="3"/>
  <c r="E22" i="3"/>
  <c r="E20" i="3"/>
  <c r="F13" i="3"/>
  <c r="F12" i="3"/>
  <c r="E18" i="3"/>
  <c r="E17" i="3"/>
  <c r="E14" i="3"/>
  <c r="E16" i="3"/>
  <c r="E15" i="3"/>
  <c r="E13" i="3"/>
  <c r="E12" i="3"/>
  <c r="E10" i="3" s="1"/>
  <c r="E11" i="3"/>
  <c r="F26" i="1"/>
  <c r="F20" i="1"/>
  <c r="F13" i="1"/>
  <c r="F12" i="1"/>
  <c r="F9" i="1"/>
  <c r="F8" i="1"/>
  <c r="F26" i="3"/>
  <c r="F25" i="3" s="1"/>
  <c r="G26" i="3"/>
  <c r="H26" i="3"/>
  <c r="H25" i="3" s="1"/>
  <c r="I26" i="3"/>
  <c r="I25" i="3" s="1"/>
  <c r="F59" i="3"/>
  <c r="F58" i="3" s="1"/>
  <c r="H59" i="3"/>
  <c r="H58" i="3" s="1"/>
  <c r="I59" i="3"/>
  <c r="I58" i="3" s="1"/>
  <c r="E59" i="3"/>
  <c r="E58" i="3" s="1"/>
  <c r="G25" i="3"/>
  <c r="H36" i="3"/>
  <c r="G56" i="7"/>
  <c r="G55" i="7" s="1"/>
  <c r="G34" i="3"/>
  <c r="F36" i="3"/>
  <c r="F53" i="3"/>
  <c r="F48" i="3" s="1"/>
  <c r="E49" i="3"/>
  <c r="E46" i="3"/>
  <c r="E34" i="3"/>
  <c r="F14" i="3"/>
  <c r="F16" i="3"/>
  <c r="H56" i="7"/>
  <c r="H55" i="7" s="1"/>
  <c r="D8" i="5"/>
  <c r="I38" i="7"/>
  <c r="F11" i="7" l="1"/>
  <c r="E26" i="3"/>
  <c r="E25" i="3" s="1"/>
  <c r="E53" i="3"/>
  <c r="E71" i="7"/>
  <c r="E66" i="7"/>
  <c r="E54" i="7" s="1"/>
  <c r="H11" i="7"/>
  <c r="F58" i="7"/>
  <c r="E11" i="7"/>
  <c r="F66" i="7"/>
  <c r="F44" i="7"/>
  <c r="F10" i="7"/>
  <c r="F9" i="7" s="1"/>
  <c r="F8" i="7" s="1"/>
  <c r="F84" i="7"/>
  <c r="F71" i="7"/>
  <c r="F40" i="7"/>
  <c r="F21" i="7"/>
  <c r="F20" i="7" s="1"/>
  <c r="E84" i="7"/>
  <c r="E44" i="7"/>
  <c r="E40" i="7" s="1"/>
  <c r="E21" i="7"/>
  <c r="E20" i="7" s="1"/>
  <c r="E36" i="3"/>
  <c r="F10" i="3"/>
  <c r="F33" i="3"/>
  <c r="E48" i="3"/>
  <c r="E33" i="3"/>
  <c r="F9" i="3"/>
  <c r="E19" i="3"/>
  <c r="G19" i="3"/>
  <c r="H19" i="3"/>
  <c r="I19" i="3"/>
  <c r="E9" i="3"/>
  <c r="G16" i="3"/>
  <c r="H16" i="3"/>
  <c r="I16" i="3"/>
  <c r="G21" i="1"/>
  <c r="I21" i="1"/>
  <c r="J21" i="1"/>
  <c r="G11" i="1"/>
  <c r="H11" i="1"/>
  <c r="I11" i="1"/>
  <c r="J11" i="1"/>
  <c r="G8" i="1"/>
  <c r="H8" i="1"/>
  <c r="I8" i="1"/>
  <c r="J8" i="1"/>
  <c r="F11" i="1"/>
  <c r="H34" i="3"/>
  <c r="H46" i="3"/>
  <c r="G46" i="3"/>
  <c r="H49" i="3"/>
  <c r="I49" i="3"/>
  <c r="H53" i="3"/>
  <c r="I53" i="3"/>
  <c r="G53" i="3"/>
  <c r="G48" i="3" s="1"/>
  <c r="H21" i="3"/>
  <c r="I21" i="3"/>
  <c r="H14" i="3"/>
  <c r="I14" i="3"/>
  <c r="H10" i="3"/>
  <c r="I10" i="3"/>
  <c r="G10" i="3"/>
  <c r="G14" i="3"/>
  <c r="G21" i="3"/>
  <c r="E12" i="5"/>
  <c r="F12" i="5"/>
  <c r="D12" i="5"/>
  <c r="E8" i="5"/>
  <c r="F8" i="5"/>
  <c r="E6" i="8"/>
  <c r="E5" i="8" s="1"/>
  <c r="F6" i="8"/>
  <c r="F5" i="8" s="1"/>
  <c r="D6" i="8"/>
  <c r="D5" i="8" s="1"/>
  <c r="H7" i="6"/>
  <c r="I7" i="6"/>
  <c r="H8" i="6"/>
  <c r="I8" i="6"/>
  <c r="G8" i="6"/>
  <c r="G7" i="6" s="1"/>
  <c r="H89" i="7"/>
  <c r="H88" i="7" s="1"/>
  <c r="I89" i="7"/>
  <c r="I88" i="7" s="1"/>
  <c r="G89" i="7"/>
  <c r="G88" i="7" s="1"/>
  <c r="H82" i="7"/>
  <c r="H81" i="7" s="1"/>
  <c r="I82" i="7"/>
  <c r="I81" i="7" s="1"/>
  <c r="G82" i="7"/>
  <c r="G81" i="7" s="1"/>
  <c r="H79" i="7"/>
  <c r="H78" i="7" s="1"/>
  <c r="I79" i="7"/>
  <c r="I78" i="7" s="1"/>
  <c r="G79" i="7"/>
  <c r="G78" i="7" s="1"/>
  <c r="H76" i="7"/>
  <c r="H75" i="7" s="1"/>
  <c r="I76" i="7"/>
  <c r="I75" i="7" s="1"/>
  <c r="G76" i="7"/>
  <c r="G75" i="7" s="1"/>
  <c r="H73" i="7"/>
  <c r="H72" i="7" s="1"/>
  <c r="I73" i="7"/>
  <c r="I72" i="7" s="1"/>
  <c r="G73" i="7"/>
  <c r="G72" i="7" s="1"/>
  <c r="H69" i="7"/>
  <c r="I69" i="7"/>
  <c r="G69" i="7"/>
  <c r="H61" i="7"/>
  <c r="I61" i="7"/>
  <c r="G61" i="7"/>
  <c r="H59" i="7"/>
  <c r="H58" i="7" s="1"/>
  <c r="I59" i="7"/>
  <c r="I58" i="7" s="1"/>
  <c r="G59" i="7"/>
  <c r="G58" i="7" s="1"/>
  <c r="H47" i="7"/>
  <c r="I47" i="7"/>
  <c r="G47" i="7"/>
  <c r="H45" i="7"/>
  <c r="I45" i="7"/>
  <c r="G45" i="7"/>
  <c r="H42" i="7"/>
  <c r="H41" i="7" s="1"/>
  <c r="I42" i="7"/>
  <c r="I41" i="7" s="1"/>
  <c r="G42" i="7"/>
  <c r="G41" i="7" s="1"/>
  <c r="H32" i="7"/>
  <c r="I32" i="7"/>
  <c r="G32" i="7"/>
  <c r="H30" i="7"/>
  <c r="H29" i="7" s="1"/>
  <c r="I30" i="7"/>
  <c r="I29" i="7" s="1"/>
  <c r="G30" i="7"/>
  <c r="G29" i="7" s="1"/>
  <c r="H27" i="7"/>
  <c r="H26" i="7" s="1"/>
  <c r="I27" i="7"/>
  <c r="I26" i="7" s="1"/>
  <c r="G27" i="7"/>
  <c r="G26" i="7" s="1"/>
  <c r="H22" i="7"/>
  <c r="I22" i="7"/>
  <c r="G22" i="7"/>
  <c r="F17" i="5"/>
  <c r="F15" i="5"/>
  <c r="F14" i="5"/>
  <c r="F6" i="5"/>
  <c r="E17" i="5"/>
  <c r="E15" i="5"/>
  <c r="E14" i="5"/>
  <c r="D14" i="5"/>
  <c r="D15" i="5"/>
  <c r="D17" i="5"/>
  <c r="I92" i="7"/>
  <c r="I91" i="7" s="1"/>
  <c r="I67" i="7"/>
  <c r="I64" i="7"/>
  <c r="I63" i="7" s="1"/>
  <c r="I24" i="7"/>
  <c r="I17" i="7"/>
  <c r="I11" i="7"/>
  <c r="H92" i="7"/>
  <c r="H91" i="7" s="1"/>
  <c r="H67" i="7"/>
  <c r="H64" i="7"/>
  <c r="H63" i="7" s="1"/>
  <c r="H24" i="7"/>
  <c r="H17" i="7"/>
  <c r="G92" i="7"/>
  <c r="G91" i="7" s="1"/>
  <c r="G67" i="7"/>
  <c r="G64" i="7"/>
  <c r="G63" i="7" s="1"/>
  <c r="G24" i="7"/>
  <c r="G15" i="7"/>
  <c r="G17" i="7"/>
  <c r="F54" i="7" l="1"/>
  <c r="E19" i="7"/>
  <c r="H14" i="1"/>
  <c r="H30" i="1" s="1"/>
  <c r="G14" i="1"/>
  <c r="G30" i="1" s="1"/>
  <c r="E10" i="7"/>
  <c r="E9" i="7" s="1"/>
  <c r="E8" i="7" s="1"/>
  <c r="G66" i="7"/>
  <c r="G44" i="7"/>
  <c r="G40" i="7" s="1"/>
  <c r="G10" i="7"/>
  <c r="G9" i="7" s="1"/>
  <c r="G8" i="7" s="1"/>
  <c r="H44" i="7"/>
  <c r="H40" i="7" s="1"/>
  <c r="G54" i="7"/>
  <c r="G71" i="7"/>
  <c r="G21" i="7"/>
  <c r="G20" i="7" s="1"/>
  <c r="I44" i="7"/>
  <c r="I40" i="7" s="1"/>
  <c r="F19" i="7"/>
  <c r="F7" i="7" s="1"/>
  <c r="F6" i="7" s="1"/>
  <c r="F5" i="7" s="1"/>
  <c r="D5" i="5"/>
  <c r="J14" i="1"/>
  <c r="J30" i="1" s="1"/>
  <c r="I14" i="1"/>
  <c r="I30" i="1" s="1"/>
  <c r="H33" i="3"/>
  <c r="I33" i="3"/>
  <c r="H48" i="3"/>
  <c r="I66" i="7"/>
  <c r="I54" i="7" s="1"/>
  <c r="H84" i="7"/>
  <c r="H66" i="7"/>
  <c r="H54" i="7" s="1"/>
  <c r="I48" i="3"/>
  <c r="G9" i="3"/>
  <c r="I9" i="3"/>
  <c r="H9" i="3"/>
  <c r="F5" i="5"/>
  <c r="E5" i="5"/>
  <c r="I84" i="7"/>
  <c r="I71" i="7"/>
  <c r="H71" i="7"/>
  <c r="I10" i="7"/>
  <c r="I9" i="7" s="1"/>
  <c r="I8" i="7" s="1"/>
  <c r="H10" i="7"/>
  <c r="I21" i="7"/>
  <c r="I20" i="7" s="1"/>
  <c r="H21" i="7"/>
  <c r="H20" i="7" s="1"/>
  <c r="E7" i="7" l="1"/>
  <c r="E6" i="7" s="1"/>
  <c r="E5" i="7" s="1"/>
  <c r="H19" i="7"/>
  <c r="G19" i="7"/>
  <c r="G7" i="7" s="1"/>
  <c r="G6" i="7" s="1"/>
  <c r="G5" i="7" s="1"/>
  <c r="H9" i="7"/>
  <c r="H8" i="7" s="1"/>
  <c r="I19" i="7"/>
  <c r="I7" i="7" s="1"/>
  <c r="I6" i="7" s="1"/>
  <c r="I5" i="7" s="1"/>
  <c r="H7" i="7" l="1"/>
  <c r="H6" i="7" s="1"/>
  <c r="H5" i="7" s="1"/>
</calcChain>
</file>

<file path=xl/sharedStrings.xml><?xml version="1.0" encoding="utf-8"?>
<sst xmlns="http://schemas.openxmlformats.org/spreadsheetml/2006/main" count="346" uniqueCount="129">
  <si>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</si>
  <si>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</si>
  <si>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</si>
  <si>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</si>
  <si>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</si>
  <si>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</si>
  <si>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</si>
  <si>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</si>
  <si>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</si>
  <si>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</si>
  <si>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</si>
  <si>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</si>
  <si>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</si>
  <si>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</si>
  <si>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</si>
  <si>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</si>
  <si>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</si>
  <si>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</si>
  <si>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</si>
  <si>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</si>
  <si>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</si>
  <si>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</si>
  <si>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</si>
  <si>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BROJČANA OZNAKA I NAZIV</t>
  </si>
  <si>
    <t>UKUPNI RASHODI</t>
  </si>
  <si>
    <t>B. RAČUN FINANCIRANJA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</si>
  <si>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</si>
  <si>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</si>
  <si>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</si>
  <si>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</si>
  <si>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</si>
  <si>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</si>
  <si>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</si>
  <si>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</si>
  <si>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</si>
  <si>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</si>
  <si>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</si>
  <si>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</si>
  <si>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</si>
  <si>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</si>
  <si>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Ostale pomoći</t>
  </si>
  <si>
    <t>Ostali prihodi za posebne namjene</t>
  </si>
  <si>
    <t>A.3. RASHODI PREMA IZVORIMA FINANCIRANJA</t>
  </si>
  <si>
    <t>A. 4. RASHODI PREMA FUNKCIJSKOJ KLASIFIKACIJI</t>
  </si>
  <si>
    <t>1 Opći prihodi i primici</t>
  </si>
  <si>
    <t>11 Opći prihodi i primici</t>
  </si>
  <si>
    <t>A1. PRIHODI POSLOVANJA I PRIHODI OD PRODAJE NEFINANCIJSKE IMOVINE</t>
  </si>
  <si>
    <t>RAZDJEL 3</t>
  </si>
  <si>
    <t>UPRAVNI ODJEL ZA DRUŠTVENE DJELATNOSTI</t>
  </si>
  <si>
    <t>GLAVA 4</t>
  </si>
  <si>
    <t>MUZEJ GRADA ŠIBENIKA</t>
  </si>
  <si>
    <t>PROGRAM 152001</t>
  </si>
  <si>
    <t>GLAVNI PROGRAM 15200</t>
  </si>
  <si>
    <t>MUZEJSKA DJELATNOST</t>
  </si>
  <si>
    <t>Aktivnost A15200101</t>
  </si>
  <si>
    <t>Izvor financiranja 11</t>
  </si>
  <si>
    <t>Redovna djelatnost Muzeja</t>
  </si>
  <si>
    <t>Razred 3</t>
  </si>
  <si>
    <t>Skupina 31</t>
  </si>
  <si>
    <t>Skupina 32</t>
  </si>
  <si>
    <t>Skupina 34</t>
  </si>
  <si>
    <t>Financijski rashodi</t>
  </si>
  <si>
    <t>Skupina 42</t>
  </si>
  <si>
    <t>Razred 4</t>
  </si>
  <si>
    <t>Rashodi za nabavu proizvedene dugotrajne imovine</t>
  </si>
  <si>
    <t>Razred 5</t>
  </si>
  <si>
    <t>Skupina 54</t>
  </si>
  <si>
    <t>PROGRAM 152002</t>
  </si>
  <si>
    <t>ZAŠTITA KULTURNO POVIJESNE BAŠTINE</t>
  </si>
  <si>
    <t>Aktivnost A15200201</t>
  </si>
  <si>
    <t>Zaštita kulturno povijesne baštine</t>
  </si>
  <si>
    <t>Izvor financiranja 21</t>
  </si>
  <si>
    <t>Pomoći iz državnog proračuna</t>
  </si>
  <si>
    <t>Kapitalni projekt 15200202</t>
  </si>
  <si>
    <t>Stalni postav Muzeja</t>
  </si>
  <si>
    <t>Skupina 45</t>
  </si>
  <si>
    <t>Rashodi za dodatna ulaganja na nefinancijskoj imovini</t>
  </si>
  <si>
    <t>Aktivnost 15200215</t>
  </si>
  <si>
    <t>Muzejsko-galerijska djelatnost</t>
  </si>
  <si>
    <t>Izvor financiranja 445</t>
  </si>
  <si>
    <t>Izvor financiranja 71</t>
  </si>
  <si>
    <t>Aktivnost 15200216</t>
  </si>
  <si>
    <t>Arheološki lokaliteti</t>
  </si>
  <si>
    <t>Izvor financiranja 22</t>
  </si>
  <si>
    <t>Pomoći iz županijskog proračuna</t>
  </si>
  <si>
    <t>Izvor financiranja 23</t>
  </si>
  <si>
    <t>Aktivnost 15200217</t>
  </si>
  <si>
    <t>Muzejsko izdavaštvo</t>
  </si>
  <si>
    <t>Izvor financiranja 31</t>
  </si>
  <si>
    <t>Donacije</t>
  </si>
  <si>
    <t>Prihodi od prodaje proizvoda i robe te pruženih usluga i prihodi od donacija</t>
  </si>
  <si>
    <t>Prihodi od upravnih i administrativnih pristojbi, pristojbi po posebnim propisima i naknada</t>
  </si>
  <si>
    <t>Kazne, upravne mjere i ostali prihodi</t>
  </si>
  <si>
    <t>Pomoći iz  državnog proračuna</t>
  </si>
  <si>
    <t>08 Rekreacija, kultura i religija</t>
  </si>
  <si>
    <t>082 Službe kulture</t>
  </si>
  <si>
    <t>2 Pomoći iz proračuna</t>
  </si>
  <si>
    <t>21 Pomoći iz državnog proračuna</t>
  </si>
  <si>
    <t>22 Pomoći iz županijskog proračuna</t>
  </si>
  <si>
    <t>23 Ostale pomoći</t>
  </si>
  <si>
    <t>3 Donacije</t>
  </si>
  <si>
    <t>31 Donacije</t>
  </si>
  <si>
    <t>4 Prihodi za posebne namjene</t>
  </si>
  <si>
    <t>44 Prihodi za posebne namjene</t>
  </si>
  <si>
    <t>445 Ostali prihodi za posebne namjene</t>
  </si>
  <si>
    <t>7 Ostali i vlastiti prihodi</t>
  </si>
  <si>
    <t>71 Vlastiti prihodi</t>
  </si>
  <si>
    <t>Prihodi iz nadležnog proračiuna i od HZZO-a temeljem ugovornih obveza</t>
  </si>
  <si>
    <t>15200 MUZEJ GRADA ŠIBENIKA</t>
  </si>
  <si>
    <t>C) PRENESENI VIŠAK ILI PRENESENI MANJAK I VIŠEGODIŠNJI PLAN URAVNOTEŽENJA</t>
  </si>
  <si>
    <t>FINANCIJSKI PLAN PRORAČUNSKOG KORISNIKA JEDINICE LOKALNE I PODRUČNE (REGIONALNE) SAMOUPRAVE 
ZA 2023. I PROJEKCIJA ZA 2024. I 2025. GODINU</t>
  </si>
  <si>
    <t xml:space="preserve"> </t>
  </si>
  <si>
    <t>Vlastiti prihodi - višak</t>
  </si>
  <si>
    <t>VIŠAK KORIŠTEN ZA POKRIĆE RASHODA</t>
  </si>
  <si>
    <t>Prihodi za posebne namjene - višak</t>
  </si>
  <si>
    <t>MANJAK POKRIVEN TEKUĆIM PRIHODIMA</t>
  </si>
  <si>
    <t>Opći prihodi i primici - manjak</t>
  </si>
  <si>
    <t>Višak prihoda poslovanja</t>
  </si>
  <si>
    <t>Vlastiti izvori</t>
  </si>
  <si>
    <t>Manjak prihoda poslovanja</t>
  </si>
  <si>
    <t>Donacije - višak</t>
  </si>
  <si>
    <t>VIŠAK / MANJAK IZ PRETHODNE GODINE KOJI ĆE SE RASPOREDITI / POKRITI</t>
  </si>
  <si>
    <t>EUR</t>
  </si>
  <si>
    <t>Tekući projekt 15200214</t>
  </si>
  <si>
    <t>Muzejski depo</t>
  </si>
  <si>
    <t>Kapitalni projekt 25100823</t>
  </si>
  <si>
    <t>Palača Rossini</t>
  </si>
  <si>
    <t>RAZLIKA - VIŠAK / MANJAK</t>
  </si>
  <si>
    <t>UKUPAN DONOS MANJKA IZ PRETHODNE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</si>
</sst>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7" fillId="0" borderId="0" xfId="0" applyFont="1"/>
    <xf numFmtId="0" fontId="16" fillId="0" borderId="0" xfId="0" applyFont="1"/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6" fillId="0" borderId="3" xfId="0" applyFont="1" applyBorder="1"/>
    <xf numFmtId="0" fontId="6" fillId="2" borderId="3" xfId="0" applyNumberFormat="1" applyFont="1" applyFill="1" applyBorder="1" applyAlignment="1" applyProtection="1">
      <alignment horizontal="left" vertical="center" wrapText="1"/>
    </xf>
    <xf numFmtId="3" fontId="0" fillId="0" borderId="4" xfId="0" applyNumberFormat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right"/>
    </xf>
    <xf numFmtId="3" fontId="3" fillId="2" borderId="4" xfId="0" applyNumberFormat="1" applyFont="1" applyFill="1" applyBorder="1" applyAlignment="1">
      <alignment horizontal="right" wrapText="1"/>
    </xf>
    <xf numFmtId="3" fontId="3" fillId="2" borderId="3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17" fillId="0" borderId="3" xfId="0" applyFont="1" applyBorder="1" applyAlignment="1">
      <alignment wrapText="1"/>
    </xf>
    <xf numFmtId="0" fontId="0" fillId="0" borderId="3" xfId="0" applyBorder="1" applyAlignment="1">
      <alignment horizontal="left" wrapText="1"/>
    </xf>
    <xf numFmtId="3" fontId="17" fillId="0" borderId="3" xfId="0" applyNumberFormat="1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4" borderId="1" xfId="0" quotePrefix="1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right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0" borderId="3" xfId="0" quotePrefix="1" applyFont="1" applyFill="1" applyBorder="1" applyAlignment="1">
      <alignment horizontal="left" vertical="center"/>
    </xf>
    <xf numFmtId="0" fontId="11" fillId="0" borderId="3" xfId="0" quotePrefix="1" applyFont="1" applyFill="1" applyBorder="1" applyAlignment="1">
      <alignment horizontal="left" vertical="center"/>
    </xf>
    <xf numFmtId="0" fontId="10" fillId="0" borderId="3" xfId="0" quotePrefix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3" fontId="3" fillId="0" borderId="4" xfId="0" applyNumberFormat="1" applyFont="1" applyFill="1" applyBorder="1" applyAlignment="1">
      <alignment horizontal="right"/>
    </xf>
    <xf numFmtId="0" fontId="0" fillId="0" borderId="0" xfId="0" applyFill="1"/>
    <xf numFmtId="0" fontId="9" fillId="0" borderId="1" xfId="0" quotePrefix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>
      <alignment vertical="center" wrapText="1"/>
    </xf>
    <xf numFmtId="164" fontId="0" fillId="0" borderId="0" xfId="0" applyNumberFormat="1"/>
    <xf numFmtId="3" fontId="6" fillId="0" borderId="3" xfId="0" quotePrefix="1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wrapText="1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horizontal="left" vertical="center" wrapText="1" indent="7"/>
    </xf>
    <xf numFmtId="0" fontId="3" fillId="2" borderId="4" xfId="0" applyNumberFormat="1" applyFont="1" applyFill="1" applyBorder="1" applyAlignment="1" applyProtection="1">
      <alignment horizontal="left" vertical="center" wrapText="1" indent="7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 indent="4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6"/>
    </xf>
    <xf numFmtId="0" fontId="3" fillId="2" borderId="2" xfId="0" applyNumberFormat="1" applyFont="1" applyFill="1" applyBorder="1" applyAlignment="1" applyProtection="1">
      <alignment horizontal="left" vertical="center" wrapText="1" indent="6"/>
    </xf>
    <xf numFmtId="0" fontId="3" fillId="2" borderId="4" xfId="0" applyNumberFormat="1" applyFont="1" applyFill="1" applyBorder="1" applyAlignment="1" applyProtection="1">
      <alignment horizontal="left" vertical="center" wrapText="1" indent="6"/>
    </xf>
    <xf numFmtId="0" fontId="3" fillId="2" borderId="1" xfId="0" applyNumberFormat="1" applyFont="1" applyFill="1" applyBorder="1" applyAlignment="1" applyProtection="1">
      <alignment horizontal="left" vertical="center" wrapText="1" indent="5"/>
    </xf>
    <xf numFmtId="0" fontId="3" fillId="2" borderId="2" xfId="0" applyNumberFormat="1" applyFont="1" applyFill="1" applyBorder="1" applyAlignment="1" applyProtection="1">
      <alignment horizontal="left" vertical="center" wrapText="1" indent="5"/>
    </xf>
    <xf numFmtId="0" fontId="3" fillId="2" borderId="4" xfId="0" applyNumberFormat="1" applyFont="1" applyFill="1" applyBorder="1" applyAlignment="1" applyProtection="1">
      <alignment horizontal="left" vertical="center" wrapText="1" indent="5"/>
    </xf>
    <xf numFmtId="0" fontId="0" fillId="0" borderId="2" xfId="0" applyBorder="1" applyAlignment="1">
      <alignment horizontal="left" vertical="center" wrapText="1" indent="7"/>
    </xf>
    <xf numFmtId="0" fontId="0" fillId="0" borderId="4" xfId="0" applyBorder="1" applyAlignment="1">
      <alignment horizontal="left" vertical="center" wrapText="1" indent="7"/>
    </xf>
    <xf numFmtId="0" fontId="0" fillId="0" borderId="2" xfId="0" applyBorder="1" applyAlignment="1">
      <alignment horizontal="left" vertical="center" wrapText="1" indent="6"/>
    </xf>
    <xf numFmtId="0" fontId="0" fillId="0" borderId="4" xfId="0" applyBorder="1" applyAlignment="1">
      <alignment horizontal="left" vertical="center" wrapText="1" indent="6"/>
    </xf>
    <xf numFmtId="0" fontId="17" fillId="0" borderId="3" xfId="0" applyFont="1" applyBorder="1" applyAlignment="1">
      <alignment horizontal="left" vertical="center" wrapText="1" indent="7"/>
    </xf>
    <xf numFmtId="0" fontId="17" fillId="0" borderId="3" xfId="0" applyFont="1" applyBorder="1" applyAlignment="1">
      <alignment horizontal="left" vertical="center" wrapText="1" indent="5"/>
    </xf>
    <xf numFmtId="0" fontId="17" fillId="0" borderId="1" xfId="0" applyFont="1" applyBorder="1" applyAlignment="1">
      <alignment horizontal="left" vertical="center" wrapText="1" indent="5"/>
    </xf>
    <xf numFmtId="0" fontId="17" fillId="0" borderId="2" xfId="0" applyFont="1" applyBorder="1" applyAlignment="1">
      <alignment horizontal="left" vertical="center" wrapText="1" indent="5"/>
    </xf>
    <xf numFmtId="0" fontId="17" fillId="0" borderId="4" xfId="0" applyFont="1" applyBorder="1" applyAlignment="1">
      <alignment horizontal="left" vertical="center" wrapText="1" indent="5"/>
    </xf>
    <xf numFmtId="0" fontId="17" fillId="0" borderId="1" xfId="0" applyFont="1" applyBorder="1" applyAlignment="1">
      <alignment horizontal="left" vertical="center" wrapText="1" indent="7"/>
    </xf>
    <xf numFmtId="0" fontId="17" fillId="0" borderId="2" xfId="0" applyFont="1" applyBorder="1" applyAlignment="1">
      <alignment horizontal="left" vertical="center" wrapText="1" indent="7"/>
    </xf>
    <xf numFmtId="0" fontId="17" fillId="0" borderId="4" xfId="0" applyFont="1" applyBorder="1" applyAlignment="1">
      <alignment horizontal="left" vertical="center" wrapText="1" indent="7"/>
    </xf>
    <xf numFmtId="0" fontId="16" fillId="0" borderId="3" xfId="0" applyFont="1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5"/>
    </xf>
    <xf numFmtId="0" fontId="16" fillId="0" borderId="6" xfId="0" applyFont="1" applyBorder="1" applyAlignment="1">
      <alignment horizontal="left" vertical="center" wrapText="1" indent="4"/>
    </xf>
    <xf numFmtId="0" fontId="16" fillId="0" borderId="0" xfId="0" applyFont="1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5"/>
    </xf>
    <xf numFmtId="0" fontId="0" fillId="0" borderId="2" xfId="0" applyBorder="1" applyAlignment="1">
      <alignment horizontal="left" vertical="center" wrapText="1" indent="5"/>
    </xf>
    <xf numFmtId="0" fontId="0" fillId="0" borderId="4" xfId="0" applyBorder="1" applyAlignment="1">
      <alignment horizontal="left" vertical="center" wrapText="1" indent="5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5" t="s">
        <v>110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15.75" customHeight="1" x14ac:dyDescent="0.25">
      <c r="A3" s="105" t="s">
        <v>28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ht="18" x14ac:dyDescent="0.25">
      <c r="A4" s="59"/>
      <c r="B4" s="59"/>
      <c r="C4" s="59"/>
      <c r="D4" s="59"/>
      <c r="E4" s="59"/>
      <c r="F4" s="59"/>
      <c r="G4" s="59"/>
      <c r="H4" s="59"/>
      <c r="I4" s="60"/>
      <c r="J4" s="60"/>
    </row>
    <row r="5" spans="1:10" ht="18" customHeight="1" x14ac:dyDescent="0.25">
      <c r="A5" s="105" t="s">
        <v>34</v>
      </c>
      <c r="B5" s="105"/>
      <c r="C5" s="105"/>
      <c r="D5" s="105"/>
      <c r="E5" s="105"/>
      <c r="F5" s="105"/>
      <c r="G5" s="105"/>
      <c r="H5" s="105"/>
      <c r="I5" s="105"/>
      <c r="J5" s="105"/>
    </row>
    <row r="6" spans="1:10" ht="18" x14ac:dyDescent="0.25">
      <c r="A6" s="61"/>
      <c r="B6" s="62"/>
      <c r="C6" s="62"/>
      <c r="D6" s="62"/>
      <c r="E6" s="63"/>
      <c r="F6" s="49"/>
      <c r="G6" s="49"/>
      <c r="H6" s="49"/>
      <c r="I6" s="49"/>
      <c r="J6" s="57" t="s">
        <v>122</v>
      </c>
    </row>
    <row r="7" spans="1:10" ht="25.5" x14ac:dyDescent="0.25">
      <c r="A7" s="50"/>
      <c r="B7" s="51"/>
      <c r="C7" s="51"/>
      <c r="D7" s="52"/>
      <c r="E7" s="64"/>
      <c r="F7" s="65" t="s">
        <v>10</v>
      </c>
      <c r="G7" s="65" t="s">
        <v>11</v>
      </c>
      <c r="H7" s="65" t="s">
        <v>36</v>
      </c>
      <c r="I7" s="65" t="s">
        <v>37</v>
      </c>
      <c r="J7" s="65" t="s">
        <v>38</v>
      </c>
    </row>
    <row r="8" spans="1:10" ht="15" customHeight="1" x14ac:dyDescent="0.25">
      <c r="A8" s="115" t="s">
        <v>0</v>
      </c>
      <c r="B8" s="116"/>
      <c r="C8" s="116"/>
      <c r="D8" s="116"/>
      <c r="E8" s="117"/>
      <c r="F8" s="53">
        <f>SUM(F9:F10)</f>
        <v>589010.15329484374</v>
      </c>
      <c r="G8" s="53">
        <f t="shared" ref="G8:J8" si="0">SUM(G9:G10)</f>
        <v>645696</v>
      </c>
      <c r="H8" s="53">
        <f t="shared" si="0"/>
        <v>689483</v>
      </c>
      <c r="I8" s="53">
        <f t="shared" si="0"/>
        <v>631404</v>
      </c>
      <c r="J8" s="53">
        <f t="shared" si="0"/>
        <v>631404</v>
      </c>
    </row>
    <row r="9" spans="1:10" ht="15" customHeight="1" x14ac:dyDescent="0.25">
      <c r="A9" s="99" t="s">
        <v>1</v>
      </c>
      <c r="B9" s="100"/>
      <c r="C9" s="100"/>
      <c r="D9" s="100"/>
      <c r="E9" s="101"/>
      <c r="F9" s="54">
        <f>4437897/7.5345</f>
        <v>589010.15329484374</v>
      </c>
      <c r="G9" s="54">
        <v>645696</v>
      </c>
      <c r="H9" s="54">
        <v>689483</v>
      </c>
      <c r="I9" s="54">
        <v>631404</v>
      </c>
      <c r="J9" s="54">
        <v>631404</v>
      </c>
    </row>
    <row r="10" spans="1:10" ht="15" customHeight="1" x14ac:dyDescent="0.25">
      <c r="A10" s="112" t="s">
        <v>2</v>
      </c>
      <c r="B10" s="113"/>
      <c r="C10" s="113"/>
      <c r="D10" s="113"/>
      <c r="E10" s="114"/>
      <c r="F10" s="54">
        <v>0</v>
      </c>
      <c r="G10" s="54">
        <v>0</v>
      </c>
      <c r="H10" s="54">
        <v>0</v>
      </c>
      <c r="I10" s="54"/>
      <c r="J10" s="54"/>
    </row>
    <row r="11" spans="1:10" ht="15" customHeight="1" x14ac:dyDescent="0.25">
      <c r="A11" s="58" t="s">
        <v>3</v>
      </c>
      <c r="B11" s="66"/>
      <c r="C11" s="66"/>
      <c r="D11" s="66"/>
      <c r="E11" s="66"/>
      <c r="F11" s="53">
        <f>SUM(F12:F13)</f>
        <v>601736.94339372218</v>
      </c>
      <c r="G11" s="53">
        <f t="shared" ref="G11:J11" si="1">SUM(G12:G13)</f>
        <v>613843</v>
      </c>
      <c r="H11" s="53">
        <f t="shared" si="1"/>
        <v>671605</v>
      </c>
      <c r="I11" s="53">
        <f t="shared" si="1"/>
        <v>631404</v>
      </c>
      <c r="J11" s="53">
        <f t="shared" si="1"/>
        <v>631404</v>
      </c>
    </row>
    <row r="12" spans="1:10" ht="15" customHeight="1" x14ac:dyDescent="0.25">
      <c r="A12" s="96" t="s">
        <v>4</v>
      </c>
      <c r="B12" s="97"/>
      <c r="C12" s="97"/>
      <c r="D12" s="97"/>
      <c r="E12" s="98"/>
      <c r="F12" s="54">
        <f>3894156/7.5345</f>
        <v>516843.32072466653</v>
      </c>
      <c r="G12" s="54">
        <v>519477</v>
      </c>
      <c r="H12" s="54">
        <v>595152</v>
      </c>
      <c r="I12" s="54">
        <v>561990</v>
      </c>
      <c r="J12" s="67">
        <v>561990</v>
      </c>
    </row>
    <row r="13" spans="1:10" x14ac:dyDescent="0.25">
      <c r="A13" s="112" t="s">
        <v>5</v>
      </c>
      <c r="B13" s="113"/>
      <c r="C13" s="113"/>
      <c r="D13" s="113"/>
      <c r="E13" s="114"/>
      <c r="F13" s="54">
        <f>639631/7.5345</f>
        <v>84893.62266905568</v>
      </c>
      <c r="G13" s="54">
        <v>94366</v>
      </c>
      <c r="H13" s="54">
        <v>76453</v>
      </c>
      <c r="I13" s="54">
        <v>69414</v>
      </c>
      <c r="J13" s="67">
        <v>69414</v>
      </c>
    </row>
    <row r="14" spans="1:10" ht="15" customHeight="1" x14ac:dyDescent="0.25">
      <c r="A14" s="102" t="s">
        <v>127</v>
      </c>
      <c r="B14" s="103"/>
      <c r="C14" s="103"/>
      <c r="D14" s="103"/>
      <c r="E14" s="104"/>
      <c r="F14" s="53">
        <f>F8-F11</f>
        <v>-12726.790098878439</v>
      </c>
      <c r="G14" s="53">
        <f>G8-G11</f>
        <v>31853</v>
      </c>
      <c r="H14" s="53">
        <f>H8-H11</f>
        <v>17878</v>
      </c>
      <c r="I14" s="53">
        <f>I8-I11</f>
        <v>0</v>
      </c>
      <c r="J14" s="53">
        <f t="shared" ref="J14" si="2">J8-J11</f>
        <v>0</v>
      </c>
    </row>
    <row r="15" spans="1:10" ht="18" x14ac:dyDescent="0.25">
      <c r="A15" s="59"/>
      <c r="B15" s="69"/>
      <c r="C15" s="69"/>
      <c r="D15" s="69"/>
      <c r="E15" s="69"/>
      <c r="F15" s="69"/>
      <c r="G15" s="69"/>
      <c r="H15" s="70"/>
      <c r="I15" s="70"/>
      <c r="J15" s="70"/>
    </row>
    <row r="16" spans="1:10" ht="18" customHeight="1" x14ac:dyDescent="0.25">
      <c r="A16" s="105" t="s">
        <v>35</v>
      </c>
      <c r="B16" s="105"/>
      <c r="C16" s="105"/>
      <c r="D16" s="105"/>
      <c r="E16" s="105"/>
      <c r="F16" s="105"/>
      <c r="G16" s="105"/>
      <c r="H16" s="105"/>
      <c r="I16" s="105"/>
      <c r="J16" s="105"/>
    </row>
    <row r="17" spans="1:10" ht="18" x14ac:dyDescent="0.25">
      <c r="A17" s="59"/>
      <c r="B17" s="69"/>
      <c r="C17" s="69"/>
      <c r="D17" s="69"/>
      <c r="E17" s="69"/>
      <c r="F17" s="69"/>
      <c r="G17" s="69"/>
      <c r="H17" s="70"/>
      <c r="I17" s="70"/>
      <c r="J17" s="70"/>
    </row>
    <row r="18" spans="1:10" ht="25.5" x14ac:dyDescent="0.25">
      <c r="A18" s="50"/>
      <c r="B18" s="51"/>
      <c r="C18" s="51"/>
      <c r="D18" s="52"/>
      <c r="E18" s="64"/>
      <c r="F18" s="65" t="s">
        <v>10</v>
      </c>
      <c r="G18" s="65" t="s">
        <v>11</v>
      </c>
      <c r="H18" s="65" t="s">
        <v>36</v>
      </c>
      <c r="I18" s="65" t="s">
        <v>37</v>
      </c>
      <c r="J18" s="65" t="s">
        <v>38</v>
      </c>
    </row>
    <row r="19" spans="1:10" ht="15.75" customHeight="1" x14ac:dyDescent="0.25">
      <c r="A19" s="99" t="s">
        <v>6</v>
      </c>
      <c r="B19" s="100"/>
      <c r="C19" s="100"/>
      <c r="D19" s="100"/>
      <c r="E19" s="101"/>
      <c r="F19" s="54">
        <v>0</v>
      </c>
      <c r="G19" s="54">
        <v>0</v>
      </c>
      <c r="H19" s="54">
        <v>0</v>
      </c>
      <c r="I19" s="54">
        <v>0</v>
      </c>
      <c r="J19" s="54">
        <v>0</v>
      </c>
    </row>
    <row r="20" spans="1:10" ht="15" customHeight="1" x14ac:dyDescent="0.25">
      <c r="A20" s="99" t="s">
        <v>7</v>
      </c>
      <c r="B20" s="100"/>
      <c r="C20" s="100"/>
      <c r="D20" s="100"/>
      <c r="E20" s="101"/>
      <c r="F20" s="54">
        <f>19190/7.5345</f>
        <v>2546.9506934766737</v>
      </c>
      <c r="G20" s="54">
        <v>2522</v>
      </c>
      <c r="H20" s="54">
        <v>624</v>
      </c>
      <c r="I20" s="54">
        <v>0</v>
      </c>
      <c r="J20" s="54">
        <v>0</v>
      </c>
    </row>
    <row r="21" spans="1:10" ht="15" customHeight="1" x14ac:dyDescent="0.25">
      <c r="A21" s="102" t="s">
        <v>8</v>
      </c>
      <c r="B21" s="103"/>
      <c r="C21" s="103"/>
      <c r="D21" s="103"/>
      <c r="E21" s="104"/>
      <c r="F21" s="53">
        <f>F19-F20</f>
        <v>-2546.9506934766737</v>
      </c>
      <c r="G21" s="53">
        <f t="shared" ref="G21:J21" si="3">G19-G20</f>
        <v>-2522</v>
      </c>
      <c r="H21" s="53">
        <v>-624</v>
      </c>
      <c r="I21" s="53">
        <f t="shared" si="3"/>
        <v>0</v>
      </c>
      <c r="J21" s="53">
        <f t="shared" si="3"/>
        <v>0</v>
      </c>
    </row>
    <row r="22" spans="1:10" ht="15" customHeight="1" x14ac:dyDescent="0.25">
      <c r="A22" s="71"/>
      <c r="B22" s="69"/>
      <c r="C22" s="69"/>
      <c r="D22" s="69"/>
      <c r="E22" s="69"/>
      <c r="F22" s="69"/>
      <c r="G22" s="69"/>
      <c r="H22" s="70"/>
      <c r="I22" s="70"/>
      <c r="J22" s="70"/>
    </row>
    <row r="23" spans="1:10" ht="15" customHeight="1" x14ac:dyDescent="0.25">
      <c r="A23" s="105" t="s">
        <v>109</v>
      </c>
      <c r="B23" s="105"/>
      <c r="C23" s="105"/>
      <c r="D23" s="105"/>
      <c r="E23" s="105"/>
      <c r="F23" s="105"/>
      <c r="G23" s="105"/>
      <c r="H23" s="105"/>
      <c r="I23" s="105"/>
      <c r="J23" s="105"/>
    </row>
    <row r="24" spans="1:10" ht="15" customHeight="1" x14ac:dyDescent="0.25">
      <c r="A24" s="71"/>
      <c r="B24" s="69"/>
      <c r="C24" s="69"/>
      <c r="D24" s="69"/>
      <c r="E24" s="69"/>
      <c r="F24" s="69"/>
      <c r="G24" s="69"/>
      <c r="H24" s="70"/>
      <c r="I24" s="70"/>
      <c r="J24" s="70"/>
    </row>
    <row r="25" spans="1:10" ht="11.25" customHeight="1" x14ac:dyDescent="0.25">
      <c r="A25" s="50"/>
      <c r="B25" s="51"/>
      <c r="C25" s="51"/>
      <c r="D25" s="52"/>
      <c r="E25" s="64"/>
      <c r="F25" s="65" t="s">
        <v>10</v>
      </c>
      <c r="G25" s="65" t="s">
        <v>11</v>
      </c>
      <c r="H25" s="65" t="s">
        <v>36</v>
      </c>
      <c r="I25" s="65" t="s">
        <v>37</v>
      </c>
      <c r="J25" s="65" t="s">
        <v>38</v>
      </c>
    </row>
    <row r="26" spans="1:10" ht="18.75" customHeight="1" x14ac:dyDescent="0.25">
      <c r="A26" s="106" t="s">
        <v>128</v>
      </c>
      <c r="B26" s="107"/>
      <c r="C26" s="107"/>
      <c r="D26" s="107"/>
      <c r="E26" s="108"/>
      <c r="F26" s="55">
        <f>-115080/7.5345</f>
        <v>-15273.740792355165</v>
      </c>
      <c r="G26" s="55">
        <v>29331</v>
      </c>
      <c r="H26" s="55">
        <v>-17254</v>
      </c>
      <c r="I26" s="55">
        <v>0</v>
      </c>
      <c r="J26" s="72">
        <v>0</v>
      </c>
    </row>
    <row r="27" spans="1:10" ht="30" customHeight="1" x14ac:dyDescent="0.25">
      <c r="A27" s="109" t="s">
        <v>121</v>
      </c>
      <c r="B27" s="110"/>
      <c r="C27" s="110"/>
      <c r="D27" s="110"/>
      <c r="E27" s="111"/>
      <c r="F27" s="56">
        <v>15274</v>
      </c>
      <c r="G27" s="56">
        <v>-29331</v>
      </c>
      <c r="H27" s="56">
        <v>-17254</v>
      </c>
      <c r="I27" s="56">
        <v>0</v>
      </c>
      <c r="J27" s="68">
        <v>0</v>
      </c>
    </row>
    <row r="28" spans="1:10" ht="1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</row>
    <row r="29" spans="1:10" ht="9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</row>
    <row r="30" spans="1:10" x14ac:dyDescent="0.25">
      <c r="A30" s="96" t="s">
        <v>9</v>
      </c>
      <c r="B30" s="97"/>
      <c r="C30" s="97"/>
      <c r="D30" s="97"/>
      <c r="E30" s="98"/>
      <c r="F30" s="95">
        <f>F14+F21+F27</f>
        <v>0.2592076448872831</v>
      </c>
      <c r="G30" s="95">
        <f t="shared" ref="G30:J30" si="4">G14+G21+G27</f>
        <v>0</v>
      </c>
      <c r="H30" s="95">
        <f>H14+H21+H27</f>
        <v>0</v>
      </c>
      <c r="I30" s="95">
        <f t="shared" si="4"/>
        <v>0</v>
      </c>
      <c r="J30" s="95">
        <f t="shared" si="4"/>
        <v>0</v>
      </c>
    </row>
    <row r="31" spans="1:10" ht="15.75" x14ac:dyDescent="0.25">
      <c r="A31" s="73"/>
      <c r="B31" s="74"/>
      <c r="C31" s="74"/>
      <c r="D31" s="74"/>
      <c r="E31" s="74"/>
      <c r="F31" s="75"/>
      <c r="G31" s="75"/>
      <c r="H31" s="75"/>
      <c r="I31" s="75"/>
      <c r="J31" s="75"/>
    </row>
    <row r="32" spans="1:10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</row>
  </sheetData>
  <mergeCells count="17">
    <mergeCell ref="A5:J5"/>
    <mergeCell ref="A16:J16"/>
    <mergeCell ref="A1:J1"/>
    <mergeCell ref="A3:J3"/>
    <mergeCell ref="A10:E10"/>
    <mergeCell ref="A8:E8"/>
    <mergeCell ref="A9:E9"/>
    <mergeCell ref="A12:E12"/>
    <mergeCell ref="A13:E13"/>
    <mergeCell ref="A14:E14"/>
    <mergeCell ref="A30:E30"/>
    <mergeCell ref="A19:E19"/>
    <mergeCell ref="A20:E20"/>
    <mergeCell ref="A21:E21"/>
    <mergeCell ref="A23:J23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6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7109375" customWidth="1"/>
    <col min="4" max="4" width="32.140625" customWidth="1"/>
    <col min="5" max="9" width="25.28515625" customWidth="1"/>
  </cols>
  <sheetData>
    <row r="1" spans="1:10" ht="59.25" customHeight="1" x14ac:dyDescent="0.25">
      <c r="A1" s="105" t="s">
        <v>110</v>
      </c>
      <c r="B1" s="105"/>
      <c r="C1" s="105"/>
      <c r="D1" s="105"/>
      <c r="E1" s="105"/>
      <c r="F1" s="105"/>
      <c r="G1" s="105"/>
      <c r="H1" s="105"/>
      <c r="I1" s="105"/>
    </row>
    <row r="2" spans="1:10" ht="15.75" x14ac:dyDescent="0.25">
      <c r="A2" s="121" t="s">
        <v>28</v>
      </c>
      <c r="B2" s="121"/>
      <c r="C2" s="121"/>
      <c r="D2" s="121"/>
      <c r="E2" s="121"/>
      <c r="F2" s="121"/>
      <c r="G2" s="121"/>
      <c r="H2" s="123"/>
      <c r="I2" s="123"/>
    </row>
    <row r="3" spans="1:10" ht="18" x14ac:dyDescent="0.25">
      <c r="A3" s="1"/>
      <c r="B3" s="1"/>
      <c r="C3" s="1"/>
      <c r="D3" s="1"/>
      <c r="E3" s="1"/>
      <c r="F3" s="1"/>
      <c r="G3" s="1"/>
      <c r="H3" s="2"/>
      <c r="I3" s="2"/>
    </row>
    <row r="4" spans="1:10" ht="18" customHeight="1" x14ac:dyDescent="0.25">
      <c r="A4" s="121" t="s">
        <v>13</v>
      </c>
      <c r="B4" s="124"/>
      <c r="C4" s="124"/>
      <c r="D4" s="124"/>
      <c r="E4" s="124"/>
      <c r="F4" s="124"/>
      <c r="G4" s="124"/>
      <c r="H4" s="124"/>
      <c r="I4" s="124"/>
    </row>
    <row r="5" spans="1:10" ht="18" x14ac:dyDescent="0.25">
      <c r="A5" s="1"/>
      <c r="B5" s="1"/>
      <c r="C5" s="1"/>
      <c r="D5" s="1"/>
      <c r="E5" s="1"/>
      <c r="F5" s="1"/>
      <c r="G5" s="1"/>
      <c r="H5" s="2"/>
      <c r="I5" s="2"/>
    </row>
    <row r="6" spans="1:10" ht="15.75" x14ac:dyDescent="0.25">
      <c r="A6" s="121" t="s">
        <v>46</v>
      </c>
      <c r="B6" s="122"/>
      <c r="C6" s="122"/>
      <c r="D6" s="122"/>
      <c r="E6" s="122"/>
      <c r="F6" s="122"/>
      <c r="G6" s="122"/>
      <c r="H6" s="122"/>
      <c r="I6" s="122"/>
    </row>
    <row r="7" spans="1:10" ht="18" x14ac:dyDescent="0.25">
      <c r="A7" s="1"/>
      <c r="B7" s="1"/>
      <c r="C7" s="1"/>
      <c r="D7" s="1"/>
      <c r="E7" s="1"/>
      <c r="F7" s="1"/>
      <c r="G7" s="1"/>
      <c r="H7" s="2"/>
      <c r="I7" t="s">
        <v>122</v>
      </c>
    </row>
    <row r="8" spans="1:10" ht="25.5" x14ac:dyDescent="0.25">
      <c r="A8" s="14" t="s">
        <v>14</v>
      </c>
      <c r="B8" s="13" t="s">
        <v>15</v>
      </c>
      <c r="C8" s="13" t="s">
        <v>16</v>
      </c>
      <c r="D8" s="13" t="s">
        <v>12</v>
      </c>
      <c r="E8" s="13" t="s">
        <v>10</v>
      </c>
      <c r="F8" s="14" t="s">
        <v>11</v>
      </c>
      <c r="G8" s="14" t="s">
        <v>36</v>
      </c>
      <c r="H8" s="14" t="s">
        <v>37</v>
      </c>
      <c r="I8" s="14" t="s">
        <v>38</v>
      </c>
    </row>
    <row r="9" spans="1:10" ht="15.75" customHeight="1" x14ac:dyDescent="0.25">
      <c r="A9" s="6">
        <v>6</v>
      </c>
      <c r="B9" s="6"/>
      <c r="C9" s="6"/>
      <c r="D9" s="6" t="s">
        <v>17</v>
      </c>
      <c r="E9" s="3">
        <f>E10+E14+E16+E19+E21</f>
        <v>589010.10020572029</v>
      </c>
      <c r="F9" s="3">
        <f>F10+F14+F16+F19+F21</f>
        <v>616364.72227752337</v>
      </c>
      <c r="G9" s="4">
        <f>G10+G14+G16+G19+G21</f>
        <v>671605.425708408</v>
      </c>
      <c r="H9" s="4">
        <f>H10+H14+H16+H19+H21</f>
        <v>631404.425708408</v>
      </c>
      <c r="I9" s="4">
        <f>I10+I14+I16+I19+I21</f>
        <v>631404.425708408</v>
      </c>
      <c r="J9" s="93">
        <v>7.5345000000000004</v>
      </c>
    </row>
    <row r="10" spans="1:10" ht="25.5" x14ac:dyDescent="0.25">
      <c r="A10" s="6"/>
      <c r="B10" s="11">
        <v>63</v>
      </c>
      <c r="C10" s="11"/>
      <c r="D10" s="11" t="s">
        <v>39</v>
      </c>
      <c r="E10" s="3">
        <f>SUM(E11:E13)</f>
        <v>98480.201738668795</v>
      </c>
      <c r="F10" s="4">
        <f>SUM(F11:F13)</f>
        <v>134580.92773243084</v>
      </c>
      <c r="G10" s="4">
        <f>SUM(G11:G13)</f>
        <v>94895.965890238236</v>
      </c>
      <c r="H10" s="4">
        <f t="shared" ref="H10:I10" si="0">SUM(H11:H13)</f>
        <v>94895.965890238236</v>
      </c>
      <c r="I10" s="4">
        <f t="shared" si="0"/>
        <v>94895.965890238236</v>
      </c>
    </row>
    <row r="11" spans="1:10" x14ac:dyDescent="0.25">
      <c r="A11" s="7"/>
      <c r="B11" s="7"/>
      <c r="C11" s="8">
        <v>21</v>
      </c>
      <c r="D11" s="8" t="s">
        <v>72</v>
      </c>
      <c r="E11" s="3">
        <f>587000/J9</f>
        <v>77908.288539385496</v>
      </c>
      <c r="F11" s="4">
        <f>904000/J9</f>
        <v>119981.41880682195</v>
      </c>
      <c r="G11" s="4">
        <f>600000/J9</f>
        <v>79633.685048775631</v>
      </c>
      <c r="H11" s="4">
        <f>600000/J9</f>
        <v>79633.685048775631</v>
      </c>
      <c r="I11" s="4">
        <f>600000/J9</f>
        <v>79633.685048775631</v>
      </c>
    </row>
    <row r="12" spans="1:10" x14ac:dyDescent="0.25">
      <c r="A12" s="7"/>
      <c r="B12" s="7"/>
      <c r="C12" s="8">
        <v>22</v>
      </c>
      <c r="D12" s="8" t="s">
        <v>84</v>
      </c>
      <c r="E12" s="3">
        <f>20000/J9</f>
        <v>2654.4561682925209</v>
      </c>
      <c r="F12" s="4">
        <f>20000/J9</f>
        <v>2654.4561682925209</v>
      </c>
      <c r="G12" s="4">
        <v>1990</v>
      </c>
      <c r="H12" s="4">
        <v>1990</v>
      </c>
      <c r="I12" s="4">
        <v>1990</v>
      </c>
    </row>
    <row r="13" spans="1:10" x14ac:dyDescent="0.25">
      <c r="A13" s="7"/>
      <c r="B13" s="7"/>
      <c r="C13" s="8">
        <v>23</v>
      </c>
      <c r="D13" s="8" t="s">
        <v>40</v>
      </c>
      <c r="E13" s="3">
        <f>134999.08/J9</f>
        <v>17917.457030990772</v>
      </c>
      <c r="F13" s="4">
        <f>90000/J9</f>
        <v>11945.052757316344</v>
      </c>
      <c r="G13" s="4">
        <f>100000/J9</f>
        <v>13272.280841462605</v>
      </c>
      <c r="H13" s="4">
        <f>100000/J9</f>
        <v>13272.280841462605</v>
      </c>
      <c r="I13" s="4">
        <f>100000/J9</f>
        <v>13272.280841462605</v>
      </c>
    </row>
    <row r="14" spans="1:10" s="39" customFormat="1" ht="38.25" x14ac:dyDescent="0.25">
      <c r="A14" s="25"/>
      <c r="B14" s="25">
        <v>65</v>
      </c>
      <c r="C14" s="12"/>
      <c r="D14" s="12" t="s">
        <v>91</v>
      </c>
      <c r="E14" s="37">
        <f>E15</f>
        <v>1279.4478731169952</v>
      </c>
      <c r="F14" s="38">
        <f>F15</f>
        <v>1327.2280841462605</v>
      </c>
      <c r="G14" s="38">
        <f>G15</f>
        <v>3318.0702103656513</v>
      </c>
      <c r="H14" s="38">
        <f t="shared" ref="H14:I14" si="1">H15</f>
        <v>3318.0702103656513</v>
      </c>
      <c r="I14" s="38">
        <f t="shared" si="1"/>
        <v>3318.0702103656513</v>
      </c>
    </row>
    <row r="15" spans="1:10" x14ac:dyDescent="0.25">
      <c r="A15" s="7"/>
      <c r="B15" s="7"/>
      <c r="C15" s="8">
        <v>445</v>
      </c>
      <c r="D15" s="8" t="s">
        <v>41</v>
      </c>
      <c r="E15" s="3">
        <f>9640/J9</f>
        <v>1279.4478731169952</v>
      </c>
      <c r="F15" s="4">
        <f>10000/J9</f>
        <v>1327.2280841462605</v>
      </c>
      <c r="G15" s="4">
        <f>25000/J9</f>
        <v>3318.0702103656513</v>
      </c>
      <c r="H15" s="4">
        <f>25000/J9</f>
        <v>3318.0702103656513</v>
      </c>
      <c r="I15" s="4">
        <f>25000/J9</f>
        <v>3318.0702103656513</v>
      </c>
    </row>
    <row r="16" spans="1:10" ht="25.5" x14ac:dyDescent="0.25">
      <c r="A16" s="7"/>
      <c r="B16" s="7">
        <v>66</v>
      </c>
      <c r="C16" s="8"/>
      <c r="D16" s="11" t="s">
        <v>90</v>
      </c>
      <c r="E16" s="3">
        <f>SUM(E17:E18)</f>
        <v>14839.743844979759</v>
      </c>
      <c r="F16" s="3">
        <f>SUM(F17:F18)</f>
        <v>15926.737009755125</v>
      </c>
      <c r="G16" s="4">
        <f>SUM(G17:G18)</f>
        <v>12741.3896078041</v>
      </c>
      <c r="H16" s="4">
        <f t="shared" ref="H16:I16" si="2">SUM(H17:H18)</f>
        <v>12741.3896078041</v>
      </c>
      <c r="I16" s="4">
        <f t="shared" si="2"/>
        <v>12741.3896078041</v>
      </c>
    </row>
    <row r="17" spans="1:9" x14ac:dyDescent="0.25">
      <c r="A17" s="7"/>
      <c r="B17" s="18"/>
      <c r="C17" s="8">
        <v>31</v>
      </c>
      <c r="D17" s="11" t="s">
        <v>89</v>
      </c>
      <c r="E17" s="3">
        <f>0/J9</f>
        <v>0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25">
      <c r="A18" s="7"/>
      <c r="B18" s="18"/>
      <c r="C18" s="8">
        <v>71</v>
      </c>
      <c r="D18" s="11" t="s">
        <v>33</v>
      </c>
      <c r="E18" s="3">
        <f>111810.05/J9</f>
        <v>14839.743844979759</v>
      </c>
      <c r="F18" s="4">
        <f>120000/J9</f>
        <v>15926.737009755125</v>
      </c>
      <c r="G18" s="4">
        <f>96000/J9</f>
        <v>12741.3896078041</v>
      </c>
      <c r="H18" s="4">
        <f>96000/J9</f>
        <v>12741.3896078041</v>
      </c>
      <c r="I18" s="4">
        <f>96000/J9</f>
        <v>12741.3896078041</v>
      </c>
    </row>
    <row r="19" spans="1:9" ht="25.5" x14ac:dyDescent="0.25">
      <c r="A19" s="7"/>
      <c r="B19" s="7">
        <v>67</v>
      </c>
      <c r="C19" s="8"/>
      <c r="D19" s="11" t="s">
        <v>107</v>
      </c>
      <c r="E19" s="3">
        <f>E20</f>
        <v>473448.46638794878</v>
      </c>
      <c r="F19" s="76">
        <f>F20</f>
        <v>464529.82945119118</v>
      </c>
      <c r="G19" s="4">
        <f>G20</f>
        <v>560650</v>
      </c>
      <c r="H19" s="4">
        <f t="shared" ref="H19:I19" si="3">H20</f>
        <v>520449</v>
      </c>
      <c r="I19" s="4">
        <f t="shared" si="3"/>
        <v>520449</v>
      </c>
    </row>
    <row r="20" spans="1:9" x14ac:dyDescent="0.25">
      <c r="A20" s="7"/>
      <c r="B20" s="18"/>
      <c r="C20" s="8">
        <v>11</v>
      </c>
      <c r="D20" s="11" t="s">
        <v>18</v>
      </c>
      <c r="E20" s="3">
        <f>3567197.47/J9</f>
        <v>473448.46638794878</v>
      </c>
      <c r="F20" s="76">
        <f>3500000/J9</f>
        <v>464529.82945119118</v>
      </c>
      <c r="G20" s="4">
        <v>560650</v>
      </c>
      <c r="H20" s="4">
        <v>520449</v>
      </c>
      <c r="I20" s="4">
        <v>520449</v>
      </c>
    </row>
    <row r="21" spans="1:9" x14ac:dyDescent="0.25">
      <c r="A21" s="7"/>
      <c r="B21" s="7">
        <v>68</v>
      </c>
      <c r="C21" s="8"/>
      <c r="D21" s="11" t="s">
        <v>92</v>
      </c>
      <c r="E21" s="3">
        <f>E22</f>
        <v>962.24036100603882</v>
      </c>
      <c r="F21" s="4">
        <v>0</v>
      </c>
      <c r="G21" s="4">
        <f>G22</f>
        <v>0</v>
      </c>
      <c r="H21" s="4">
        <f t="shared" ref="H21:I21" si="4">H22</f>
        <v>0</v>
      </c>
      <c r="I21" s="4">
        <f t="shared" si="4"/>
        <v>0</v>
      </c>
    </row>
    <row r="22" spans="1:9" x14ac:dyDescent="0.25">
      <c r="A22" s="7"/>
      <c r="B22" s="7"/>
      <c r="C22" s="8">
        <v>71</v>
      </c>
      <c r="D22" s="11" t="s">
        <v>33</v>
      </c>
      <c r="E22" s="3">
        <f>7250/J9</f>
        <v>962.24036100603882</v>
      </c>
      <c r="F22" s="4">
        <v>0</v>
      </c>
      <c r="G22" s="4">
        <v>0</v>
      </c>
      <c r="H22" s="4">
        <v>0</v>
      </c>
      <c r="I22" s="4">
        <v>0</v>
      </c>
    </row>
    <row r="23" spans="1:9" s="48" customFormat="1" x14ac:dyDescent="0.25">
      <c r="A23" s="88"/>
      <c r="B23" s="89"/>
      <c r="C23" s="90"/>
      <c r="D23" s="91"/>
      <c r="E23" s="92"/>
      <c r="F23" s="92"/>
      <c r="G23" s="92"/>
      <c r="H23" s="92"/>
      <c r="I23" s="86"/>
    </row>
    <row r="24" spans="1:9" s="48" customFormat="1" x14ac:dyDescent="0.25">
      <c r="A24" s="118" t="s">
        <v>113</v>
      </c>
      <c r="B24" s="119"/>
      <c r="C24" s="119"/>
      <c r="D24" s="119"/>
      <c r="E24" s="119"/>
      <c r="F24" s="119"/>
      <c r="G24" s="119"/>
      <c r="H24" s="119"/>
      <c r="I24" s="120"/>
    </row>
    <row r="25" spans="1:9" s="48" customFormat="1" x14ac:dyDescent="0.25">
      <c r="A25" s="7">
        <v>9</v>
      </c>
      <c r="B25" s="7"/>
      <c r="C25" s="8"/>
      <c r="D25" s="11" t="s">
        <v>118</v>
      </c>
      <c r="E25" s="3">
        <f>E26</f>
        <v>1656.217399960183</v>
      </c>
      <c r="F25" s="3">
        <f t="shared" ref="F25:I25" si="5">F26</f>
        <v>559.6920830844781</v>
      </c>
      <c r="G25" s="3">
        <f t="shared" si="5"/>
        <v>0</v>
      </c>
      <c r="H25" s="3">
        <f t="shared" si="5"/>
        <v>0</v>
      </c>
      <c r="I25" s="3">
        <f t="shared" si="5"/>
        <v>0</v>
      </c>
    </row>
    <row r="26" spans="1:9" s="48" customFormat="1" x14ac:dyDescent="0.25">
      <c r="A26" s="7"/>
      <c r="B26" s="7">
        <v>92</v>
      </c>
      <c r="C26" s="8"/>
      <c r="D26" s="11" t="s">
        <v>117</v>
      </c>
      <c r="E26" s="3">
        <f>SUM(E27:E29)</f>
        <v>1656.217399960183</v>
      </c>
      <c r="F26" s="3">
        <f t="shared" ref="F26:I26" si="6">SUM(F27:F29)</f>
        <v>559.6920830844781</v>
      </c>
      <c r="G26" s="3">
        <f t="shared" si="6"/>
        <v>0</v>
      </c>
      <c r="H26" s="3">
        <f t="shared" si="6"/>
        <v>0</v>
      </c>
      <c r="I26" s="3">
        <f t="shared" si="6"/>
        <v>0</v>
      </c>
    </row>
    <row r="27" spans="1:9" s="48" customFormat="1" x14ac:dyDescent="0.25">
      <c r="A27" s="7"/>
      <c r="B27" s="7"/>
      <c r="C27" s="8">
        <v>93</v>
      </c>
      <c r="D27" s="11" t="s">
        <v>120</v>
      </c>
      <c r="E27" s="3">
        <f>3241.82/J9</f>
        <v>430.26345477470301</v>
      </c>
      <c r="F27" s="3">
        <v>0</v>
      </c>
      <c r="G27" s="3">
        <v>0</v>
      </c>
      <c r="H27" s="3">
        <v>0</v>
      </c>
      <c r="I27" s="3">
        <v>0</v>
      </c>
    </row>
    <row r="28" spans="1:9" s="87" customFormat="1" x14ac:dyDescent="0.25">
      <c r="A28" s="82"/>
      <c r="B28" s="83"/>
      <c r="C28" s="84">
        <v>94</v>
      </c>
      <c r="D28" s="85" t="s">
        <v>114</v>
      </c>
      <c r="E28" s="86">
        <f>3121.99/J9</f>
        <v>414.35928064237834</v>
      </c>
      <c r="F28" s="76">
        <f>742/J9</f>
        <v>98.480323843652528</v>
      </c>
      <c r="G28" s="76">
        <v>0</v>
      </c>
      <c r="H28" s="76">
        <v>0</v>
      </c>
      <c r="I28" s="76">
        <v>0</v>
      </c>
    </row>
    <row r="29" spans="1:9" s="87" customFormat="1" x14ac:dyDescent="0.25">
      <c r="A29" s="82"/>
      <c r="B29" s="83"/>
      <c r="C29" s="84">
        <v>97</v>
      </c>
      <c r="D29" s="85" t="s">
        <v>112</v>
      </c>
      <c r="E29" s="86">
        <f>6114.96/J9</f>
        <v>811.59466454310166</v>
      </c>
      <c r="F29" s="76">
        <f>3475/J9</f>
        <v>461.21175924082553</v>
      </c>
      <c r="G29" s="76">
        <v>0</v>
      </c>
      <c r="H29" s="76">
        <v>0</v>
      </c>
      <c r="I29" s="76">
        <v>0</v>
      </c>
    </row>
    <row r="30" spans="1:9" ht="15.75" x14ac:dyDescent="0.25">
      <c r="A30" s="121"/>
      <c r="B30" s="122"/>
      <c r="C30" s="122"/>
      <c r="D30" s="122"/>
      <c r="E30" s="122"/>
      <c r="F30" s="122"/>
      <c r="G30" s="122"/>
      <c r="H30" s="122"/>
      <c r="I30" s="122"/>
    </row>
    <row r="31" spans="1:9" ht="18" x14ac:dyDescent="0.25">
      <c r="A31" s="1"/>
      <c r="B31" s="1"/>
      <c r="C31" s="1"/>
      <c r="D31" s="1"/>
      <c r="E31" s="1"/>
      <c r="F31" s="1"/>
      <c r="G31" s="1"/>
      <c r="H31" s="2"/>
      <c r="I31" s="2"/>
    </row>
    <row r="32" spans="1:9" ht="25.5" x14ac:dyDescent="0.25">
      <c r="A32" s="14"/>
      <c r="B32" s="13" t="s">
        <v>15</v>
      </c>
      <c r="C32" s="13" t="s">
        <v>16</v>
      </c>
      <c r="D32" s="13" t="s">
        <v>19</v>
      </c>
      <c r="E32" s="13" t="s">
        <v>10</v>
      </c>
      <c r="F32" s="14" t="s">
        <v>11</v>
      </c>
      <c r="G32" s="14" t="s">
        <v>36</v>
      </c>
      <c r="H32" s="14" t="s">
        <v>37</v>
      </c>
      <c r="I32" s="14" t="s">
        <v>38</v>
      </c>
    </row>
    <row r="33" spans="1:10" ht="15.75" customHeight="1" x14ac:dyDescent="0.25">
      <c r="A33" s="6"/>
      <c r="B33" s="6"/>
      <c r="C33" s="6"/>
      <c r="D33" s="6" t="s">
        <v>20</v>
      </c>
      <c r="E33" s="3">
        <f>E34+E36+E46+E49+E53</f>
        <v>601736.95401154691</v>
      </c>
      <c r="F33" s="4">
        <f>F34+F36+F46+F49+F53</f>
        <v>614402.68100073002</v>
      </c>
      <c r="G33" s="4">
        <f>G34+G36+G46+G49+G53</f>
        <v>670981</v>
      </c>
      <c r="H33" s="4">
        <f>H34+H36+H46+H49+H53</f>
        <v>631404</v>
      </c>
      <c r="I33" s="4">
        <f>I34+I36+I46+I49+I53</f>
        <v>631404</v>
      </c>
      <c r="J33" s="94">
        <v>7.5345000000000004</v>
      </c>
    </row>
    <row r="34" spans="1:10" ht="15.75" customHeight="1" x14ac:dyDescent="0.25">
      <c r="A34" s="6"/>
      <c r="B34" s="11">
        <v>31</v>
      </c>
      <c r="C34" s="11"/>
      <c r="D34" s="11" t="s">
        <v>21</v>
      </c>
      <c r="E34" s="3">
        <f>E35</f>
        <v>311846.8551330546</v>
      </c>
      <c r="F34" s="3">
        <f>F35</f>
        <v>366713.11964961176</v>
      </c>
      <c r="G34" s="4">
        <f>G35</f>
        <v>432347</v>
      </c>
      <c r="H34" s="4">
        <f t="shared" ref="H34:I34" si="7">H35</f>
        <v>432347</v>
      </c>
      <c r="I34" s="4">
        <f t="shared" si="7"/>
        <v>432347</v>
      </c>
    </row>
    <row r="35" spans="1:10" x14ac:dyDescent="0.25">
      <c r="A35" s="7"/>
      <c r="B35" s="7"/>
      <c r="C35" s="8">
        <v>11</v>
      </c>
      <c r="D35" s="8" t="s">
        <v>18</v>
      </c>
      <c r="E35" s="3">
        <f>2349610.13/J33</f>
        <v>311846.8551330546</v>
      </c>
      <c r="F35" s="4">
        <f>2763000/J33</f>
        <v>366713.11964961176</v>
      </c>
      <c r="G35" s="4">
        <v>432347</v>
      </c>
      <c r="H35" s="4">
        <v>432347</v>
      </c>
      <c r="I35" s="4">
        <v>432347</v>
      </c>
    </row>
    <row r="36" spans="1:10" x14ac:dyDescent="0.25">
      <c r="A36" s="7"/>
      <c r="B36" s="7">
        <v>32</v>
      </c>
      <c r="C36" s="8"/>
      <c r="D36" s="7" t="s">
        <v>31</v>
      </c>
      <c r="E36" s="3">
        <f>SUM(E37:E45)</f>
        <v>204701.99084212622</v>
      </c>
      <c r="F36" s="4">
        <f>SUM(F37:F45)</f>
        <v>153058.19895148985</v>
      </c>
      <c r="G36" s="4">
        <f>SUM(G37:G45)</f>
        <v>161916</v>
      </c>
      <c r="H36" s="4">
        <f>SUM(H37:H45)</f>
        <v>129378</v>
      </c>
      <c r="I36" s="4">
        <f>SUM(I37:I45)</f>
        <v>129378</v>
      </c>
    </row>
    <row r="37" spans="1:10" x14ac:dyDescent="0.25">
      <c r="A37" s="7"/>
      <c r="B37" s="7"/>
      <c r="C37" s="8">
        <v>11</v>
      </c>
      <c r="D37" s="8" t="s">
        <v>18</v>
      </c>
      <c r="E37" s="3">
        <f>1253660.79/J33</f>
        <v>166389.38084809875</v>
      </c>
      <c r="F37" s="4">
        <f>685000/J33</f>
        <v>90915.123764018848</v>
      </c>
      <c r="G37" s="4">
        <v>117986</v>
      </c>
      <c r="H37" s="4">
        <v>85448</v>
      </c>
      <c r="I37" s="4">
        <v>85448</v>
      </c>
    </row>
    <row r="38" spans="1:10" x14ac:dyDescent="0.25">
      <c r="A38" s="7"/>
      <c r="B38" s="18"/>
      <c r="C38" s="8">
        <v>21</v>
      </c>
      <c r="D38" s="12" t="s">
        <v>93</v>
      </c>
      <c r="E38" s="3">
        <f>87000/J33</f>
        <v>11546.884332072466</v>
      </c>
      <c r="F38" s="4">
        <f>224000/J33</f>
        <v>29729.909084876235</v>
      </c>
      <c r="G38" s="4">
        <v>13272</v>
      </c>
      <c r="H38" s="4">
        <v>13272</v>
      </c>
      <c r="I38" s="4">
        <v>13272</v>
      </c>
    </row>
    <row r="39" spans="1:10" x14ac:dyDescent="0.25">
      <c r="A39" s="7"/>
      <c r="B39" s="18"/>
      <c r="C39" s="8">
        <v>22</v>
      </c>
      <c r="D39" s="12" t="s">
        <v>84</v>
      </c>
      <c r="E39" s="3">
        <f>20000/J33</f>
        <v>2654.4561682925209</v>
      </c>
      <c r="F39" s="4">
        <f>20000/J33</f>
        <v>2654.4561682925209</v>
      </c>
      <c r="G39" s="4">
        <v>1990</v>
      </c>
      <c r="H39" s="4">
        <v>1990</v>
      </c>
      <c r="I39" s="4">
        <v>1990</v>
      </c>
    </row>
    <row r="40" spans="1:10" x14ac:dyDescent="0.25">
      <c r="A40" s="7"/>
      <c r="B40" s="18"/>
      <c r="C40" s="8">
        <v>23</v>
      </c>
      <c r="D40" s="12" t="s">
        <v>40</v>
      </c>
      <c r="E40" s="3">
        <f>49999.08/J33</f>
        <v>6636.0183157475612</v>
      </c>
      <c r="F40" s="4">
        <f>90000/J33</f>
        <v>11945.052757316344</v>
      </c>
      <c r="G40" s="4">
        <v>13272</v>
      </c>
      <c r="H40" s="4">
        <v>13272</v>
      </c>
      <c r="I40" s="4">
        <v>13272</v>
      </c>
    </row>
    <row r="41" spans="1:10" x14ac:dyDescent="0.25">
      <c r="A41" s="7"/>
      <c r="B41" s="18"/>
      <c r="C41" s="8">
        <v>31</v>
      </c>
      <c r="D41" s="12" t="s">
        <v>89</v>
      </c>
      <c r="E41" s="3">
        <f>3241.82/J33</f>
        <v>430.26345477470301</v>
      </c>
      <c r="F41" s="4">
        <v>0</v>
      </c>
      <c r="G41" s="4">
        <v>0</v>
      </c>
      <c r="H41" s="4">
        <v>0</v>
      </c>
      <c r="I41" s="4">
        <v>0</v>
      </c>
    </row>
    <row r="42" spans="1:10" x14ac:dyDescent="0.25">
      <c r="A42" s="7"/>
      <c r="B42" s="18"/>
      <c r="C42" s="8">
        <v>445</v>
      </c>
      <c r="D42" s="12" t="s">
        <v>41</v>
      </c>
      <c r="E42" s="3">
        <f>12020.21/J33</f>
        <v>1595.3560289335721</v>
      </c>
      <c r="F42" s="4">
        <f>10000/J33</f>
        <v>1327.2280841462605</v>
      </c>
      <c r="G42" s="4">
        <v>3318</v>
      </c>
      <c r="H42" s="4">
        <v>3318</v>
      </c>
      <c r="I42" s="4">
        <v>3318</v>
      </c>
    </row>
    <row r="43" spans="1:10" s="48" customFormat="1" x14ac:dyDescent="0.25">
      <c r="A43" s="77"/>
      <c r="B43" s="78"/>
      <c r="C43" s="79">
        <v>94</v>
      </c>
      <c r="D43" s="79" t="s">
        <v>114</v>
      </c>
      <c r="E43" s="80">
        <v>0</v>
      </c>
      <c r="F43" s="81">
        <f>742/J33</f>
        <v>98.480323843652528</v>
      </c>
      <c r="G43" s="81">
        <v>0</v>
      </c>
      <c r="H43" s="81">
        <v>0</v>
      </c>
      <c r="I43" s="81">
        <v>0</v>
      </c>
    </row>
    <row r="44" spans="1:10" s="48" customFormat="1" x14ac:dyDescent="0.25">
      <c r="A44" s="7"/>
      <c r="B44" s="18"/>
      <c r="C44" s="8">
        <v>71</v>
      </c>
      <c r="D44" s="12" t="s">
        <v>33</v>
      </c>
      <c r="E44" s="3">
        <f>116405.25/J33</f>
        <v>15449.631694206648</v>
      </c>
      <c r="F44" s="4">
        <f>120000/J33</f>
        <v>15926.737009755125</v>
      </c>
      <c r="G44" s="4">
        <v>12078</v>
      </c>
      <c r="H44" s="4">
        <v>12078</v>
      </c>
      <c r="I44" s="4">
        <v>12078</v>
      </c>
    </row>
    <row r="45" spans="1:10" s="48" customFormat="1" x14ac:dyDescent="0.25">
      <c r="A45" s="77"/>
      <c r="B45" s="78"/>
      <c r="C45" s="79">
        <v>97</v>
      </c>
      <c r="D45" s="79" t="s">
        <v>112</v>
      </c>
      <c r="E45" s="80">
        <v>0</v>
      </c>
      <c r="F45" s="81">
        <f>3475/J33</f>
        <v>461.21175924082553</v>
      </c>
      <c r="G45" s="81">
        <v>0</v>
      </c>
      <c r="H45" s="81">
        <v>0</v>
      </c>
      <c r="I45" s="81">
        <v>0</v>
      </c>
    </row>
    <row r="46" spans="1:10" x14ac:dyDescent="0.25">
      <c r="A46" s="7"/>
      <c r="B46" s="7">
        <v>34</v>
      </c>
      <c r="C46" s="8"/>
      <c r="D46" s="7" t="s">
        <v>61</v>
      </c>
      <c r="E46" s="3">
        <f>E47</f>
        <v>294.45616829252106</v>
      </c>
      <c r="F46" s="3">
        <f>F47</f>
        <v>265.44561682925212</v>
      </c>
      <c r="G46" s="4">
        <f>G47</f>
        <v>265</v>
      </c>
      <c r="H46" s="4">
        <f t="shared" ref="H46:I46" si="8">H47</f>
        <v>265</v>
      </c>
      <c r="I46" s="4">
        <f t="shared" si="8"/>
        <v>265</v>
      </c>
    </row>
    <row r="47" spans="1:10" x14ac:dyDescent="0.25">
      <c r="A47" s="7"/>
      <c r="B47" s="7"/>
      <c r="C47" s="8">
        <v>11</v>
      </c>
      <c r="D47" s="8" t="s">
        <v>18</v>
      </c>
      <c r="E47" s="3">
        <f>2218.58/J33</f>
        <v>294.45616829252106</v>
      </c>
      <c r="F47" s="4">
        <f>2000/J33</f>
        <v>265.44561682925212</v>
      </c>
      <c r="G47" s="4">
        <v>265</v>
      </c>
      <c r="H47" s="4">
        <v>265</v>
      </c>
      <c r="I47" s="4">
        <v>265</v>
      </c>
    </row>
    <row r="48" spans="1:10" ht="25.5" x14ac:dyDescent="0.25">
      <c r="A48" s="9"/>
      <c r="B48" s="10"/>
      <c r="C48" s="10"/>
      <c r="D48" s="16" t="s">
        <v>22</v>
      </c>
      <c r="E48" s="3">
        <f>E49+E53</f>
        <v>84893.651868073532</v>
      </c>
      <c r="F48" s="4">
        <f>F49+F53</f>
        <v>94365.916782799119</v>
      </c>
      <c r="G48" s="4">
        <f>G49+G53</f>
        <v>76453</v>
      </c>
      <c r="H48" s="4">
        <f>H49+H53</f>
        <v>69414</v>
      </c>
      <c r="I48" s="4">
        <f>I49+I53</f>
        <v>69414</v>
      </c>
    </row>
    <row r="49" spans="1:9" ht="25.5" x14ac:dyDescent="0.25">
      <c r="A49" s="11"/>
      <c r="B49" s="11">
        <v>42</v>
      </c>
      <c r="C49" s="11"/>
      <c r="D49" s="17" t="s">
        <v>64</v>
      </c>
      <c r="E49" s="3">
        <f>SUM(E50:E52)</f>
        <v>18521.397571172605</v>
      </c>
      <c r="F49" s="4">
        <f>61000/J33</f>
        <v>8096.0913132921887</v>
      </c>
      <c r="G49" s="4">
        <f>SUM(G50:G52)</f>
        <v>10092</v>
      </c>
      <c r="H49" s="4">
        <f>SUM(H50:H52)</f>
        <v>3053</v>
      </c>
      <c r="I49" s="4">
        <f>SUM(I50:I52)</f>
        <v>3053</v>
      </c>
    </row>
    <row r="50" spans="1:9" x14ac:dyDescent="0.25">
      <c r="A50" s="11"/>
      <c r="B50" s="11"/>
      <c r="C50" s="8">
        <v>11</v>
      </c>
      <c r="D50" s="8" t="s">
        <v>18</v>
      </c>
      <c r="E50" s="3">
        <f>134254.47/J33</f>
        <v>17818.630300617162</v>
      </c>
      <c r="F50" s="4">
        <f>31000/J33</f>
        <v>4114.4070608534075</v>
      </c>
      <c r="G50" s="4">
        <v>9428</v>
      </c>
      <c r="H50" s="4">
        <v>2389</v>
      </c>
      <c r="I50" s="4">
        <v>2389</v>
      </c>
    </row>
    <row r="51" spans="1:9" x14ac:dyDescent="0.25">
      <c r="A51" s="11"/>
      <c r="B51" s="11"/>
      <c r="C51" s="8">
        <v>21</v>
      </c>
      <c r="D51" s="8" t="s">
        <v>72</v>
      </c>
      <c r="E51" s="3">
        <v>0</v>
      </c>
      <c r="F51" s="4">
        <f>30000/J33</f>
        <v>3981.6842524387812</v>
      </c>
      <c r="G51" s="4">
        <v>0</v>
      </c>
      <c r="H51" s="4">
        <v>0</v>
      </c>
      <c r="I51" s="5">
        <v>0</v>
      </c>
    </row>
    <row r="52" spans="1:9" x14ac:dyDescent="0.25">
      <c r="A52" s="11"/>
      <c r="B52" s="11"/>
      <c r="C52" s="8">
        <v>71</v>
      </c>
      <c r="D52" s="8" t="s">
        <v>33</v>
      </c>
      <c r="E52" s="3">
        <f>5295/J33</f>
        <v>702.76727055544495</v>
      </c>
      <c r="F52" s="4">
        <v>0</v>
      </c>
      <c r="G52" s="4">
        <v>664</v>
      </c>
      <c r="H52" s="4">
        <v>664</v>
      </c>
      <c r="I52" s="4">
        <v>664</v>
      </c>
    </row>
    <row r="53" spans="1:9" s="39" customFormat="1" ht="25.5" x14ac:dyDescent="0.25">
      <c r="A53" s="11"/>
      <c r="B53" s="11">
        <v>45</v>
      </c>
      <c r="C53" s="12"/>
      <c r="D53" s="12" t="s">
        <v>76</v>
      </c>
      <c r="E53" s="37">
        <f>SUM(E54:E55)</f>
        <v>66372.254296900923</v>
      </c>
      <c r="F53" s="38">
        <f>SUM(F54:F55)</f>
        <v>86269.825469506934</v>
      </c>
      <c r="G53" s="38">
        <f>SUM(G54:G55)</f>
        <v>66361</v>
      </c>
      <c r="H53" s="38">
        <f t="shared" ref="H53:I53" si="9">SUM(H54:H55)</f>
        <v>66361</v>
      </c>
      <c r="I53" s="38">
        <f t="shared" si="9"/>
        <v>66361</v>
      </c>
    </row>
    <row r="54" spans="1:9" s="39" customFormat="1" x14ac:dyDescent="0.25">
      <c r="A54" s="11"/>
      <c r="B54" s="11"/>
      <c r="C54" s="12">
        <v>11</v>
      </c>
      <c r="D54" s="12" t="s">
        <v>18</v>
      </c>
      <c r="E54" s="37">
        <f>81.75/J33</f>
        <v>10.850089587895679</v>
      </c>
      <c r="F54" s="38">
        <v>0</v>
      </c>
      <c r="G54" s="38">
        <v>0</v>
      </c>
      <c r="H54" s="38">
        <v>0</v>
      </c>
      <c r="I54" s="5">
        <v>0</v>
      </c>
    </row>
    <row r="55" spans="1:9" s="39" customFormat="1" x14ac:dyDescent="0.25">
      <c r="A55" s="11"/>
      <c r="B55" s="11"/>
      <c r="C55" s="12">
        <v>21</v>
      </c>
      <c r="D55" s="12" t="s">
        <v>72</v>
      </c>
      <c r="E55" s="37">
        <f>500000/J33</f>
        <v>66361.404207313026</v>
      </c>
      <c r="F55" s="38">
        <f>650000/J33</f>
        <v>86269.825469506934</v>
      </c>
      <c r="G55" s="38">
        <v>66361</v>
      </c>
      <c r="H55" s="38">
        <v>66361</v>
      </c>
      <c r="I55" s="38">
        <v>66361</v>
      </c>
    </row>
    <row r="56" spans="1:9" x14ac:dyDescent="0.25">
      <c r="C56" s="27"/>
      <c r="D56" s="27"/>
    </row>
    <row r="57" spans="1:9" x14ac:dyDescent="0.25">
      <c r="A57" s="118" t="s">
        <v>115</v>
      </c>
      <c r="B57" s="119"/>
      <c r="C57" s="119"/>
      <c r="D57" s="119"/>
      <c r="E57" s="119"/>
      <c r="F57" s="119"/>
      <c r="G57" s="119"/>
      <c r="H57" s="119"/>
      <c r="I57" s="120"/>
    </row>
    <row r="58" spans="1:9" x14ac:dyDescent="0.25">
      <c r="A58" s="7">
        <v>9</v>
      </c>
      <c r="B58" s="7"/>
      <c r="C58" s="8"/>
      <c r="D58" s="11" t="s">
        <v>118</v>
      </c>
      <c r="E58" s="3">
        <f>E59</f>
        <v>15714.149578605082</v>
      </c>
      <c r="F58" s="3">
        <f t="shared" ref="F58:I59" si="10">F59</f>
        <v>29891.323910013933</v>
      </c>
      <c r="G58" s="3">
        <f t="shared" si="10"/>
        <v>17253.965093901385</v>
      </c>
      <c r="H58" s="3">
        <f t="shared" si="10"/>
        <v>17253.965093901385</v>
      </c>
      <c r="I58" s="3">
        <f t="shared" si="10"/>
        <v>17253.965093901385</v>
      </c>
    </row>
    <row r="59" spans="1:9" x14ac:dyDescent="0.25">
      <c r="A59" s="7"/>
      <c r="B59" s="7">
        <v>92</v>
      </c>
      <c r="C59" s="8"/>
      <c r="D59" s="11" t="s">
        <v>119</v>
      </c>
      <c r="E59" s="3">
        <f>E60</f>
        <v>15714.149578605082</v>
      </c>
      <c r="F59" s="3">
        <f t="shared" si="10"/>
        <v>29891.323910013933</v>
      </c>
      <c r="G59" s="3">
        <f t="shared" si="10"/>
        <v>17253.965093901385</v>
      </c>
      <c r="H59" s="3">
        <f t="shared" si="10"/>
        <v>17253.965093901385</v>
      </c>
      <c r="I59" s="3">
        <f t="shared" si="10"/>
        <v>17253.965093901385</v>
      </c>
    </row>
    <row r="60" spans="1:9" x14ac:dyDescent="0.25">
      <c r="A60" s="82"/>
      <c r="B60" s="83"/>
      <c r="C60" s="84">
        <v>11</v>
      </c>
      <c r="D60" s="85" t="s">
        <v>116</v>
      </c>
      <c r="E60" s="86">
        <f>118398.26/J33</f>
        <v>15714.149578605082</v>
      </c>
      <c r="F60" s="76">
        <f>225216.18/J33</f>
        <v>29891.323910013933</v>
      </c>
      <c r="G60" s="76">
        <f>130000/J33</f>
        <v>17253.965093901385</v>
      </c>
      <c r="H60" s="76">
        <f>130000/J33</f>
        <v>17253.965093901385</v>
      </c>
      <c r="I60" s="76">
        <f>130000/J33</f>
        <v>17253.965093901385</v>
      </c>
    </row>
    <row r="66" spans="1:1" x14ac:dyDescent="0.25">
      <c r="A66" t="s">
        <v>111</v>
      </c>
    </row>
  </sheetData>
  <mergeCells count="7">
    <mergeCell ref="A1:I1"/>
    <mergeCell ref="A24:I24"/>
    <mergeCell ref="A57:I57"/>
    <mergeCell ref="A6:I6"/>
    <mergeCell ref="A30:I30"/>
    <mergeCell ref="A2:I2"/>
    <mergeCell ref="A4:I4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workbookViewId="0">
      <selection activeCell="A2" sqref="A2:F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7" ht="18" x14ac:dyDescent="0.25">
      <c r="A1" s="1"/>
      <c r="B1" s="1"/>
      <c r="C1" s="1"/>
      <c r="D1" s="1"/>
      <c r="E1" s="2"/>
      <c r="F1" s="2"/>
    </row>
    <row r="2" spans="1:7" ht="15.75" x14ac:dyDescent="0.25">
      <c r="A2" s="121" t="s">
        <v>42</v>
      </c>
      <c r="B2" s="122"/>
      <c r="C2" s="122"/>
      <c r="D2" s="122"/>
      <c r="E2" s="122"/>
      <c r="F2" s="122"/>
    </row>
    <row r="3" spans="1:7" ht="18" x14ac:dyDescent="0.25">
      <c r="A3" s="1"/>
      <c r="B3" s="1"/>
      <c r="C3" s="1"/>
      <c r="D3" s="1"/>
      <c r="E3" s="2"/>
      <c r="F3" s="2"/>
    </row>
    <row r="4" spans="1:7" ht="25.5" x14ac:dyDescent="0.25">
      <c r="A4" s="14" t="s">
        <v>108</v>
      </c>
      <c r="B4" s="13" t="s">
        <v>10</v>
      </c>
      <c r="C4" s="14" t="s">
        <v>11</v>
      </c>
      <c r="D4" s="14" t="s">
        <v>36</v>
      </c>
      <c r="E4" s="14" t="s">
        <v>37</v>
      </c>
      <c r="F4" s="14" t="s">
        <v>38</v>
      </c>
    </row>
    <row r="5" spans="1:7" ht="15.75" customHeight="1" x14ac:dyDescent="0.25">
      <c r="A5" s="6" t="s">
        <v>24</v>
      </c>
      <c r="B5" s="3">
        <f>B6</f>
        <v>498907.07943460083</v>
      </c>
      <c r="C5" s="3">
        <f>C6</f>
        <v>464529.82945119118</v>
      </c>
      <c r="D5" s="4">
        <f>D6+D8+D12+D14+D17</f>
        <v>670981.35105182824</v>
      </c>
      <c r="E5" s="4">
        <f>E6+E8+E12+E14+E17</f>
        <v>631404.42570840812</v>
      </c>
      <c r="F5" s="4">
        <f>F6+F8+F12+F14+F17</f>
        <v>631404.42570840812</v>
      </c>
      <c r="G5" s="94">
        <v>7.5345000000000004</v>
      </c>
    </row>
    <row r="6" spans="1:7" ht="15.75" customHeight="1" x14ac:dyDescent="0.25">
      <c r="A6" s="6" t="s">
        <v>44</v>
      </c>
      <c r="B6" s="3">
        <f>B7</f>
        <v>498907.07943460083</v>
      </c>
      <c r="C6" s="3">
        <f>C7</f>
        <v>464529.82945119118</v>
      </c>
      <c r="D6" s="4">
        <f>D7</f>
        <v>560026</v>
      </c>
      <c r="E6" s="4">
        <f>E7</f>
        <v>520449</v>
      </c>
      <c r="F6" s="4">
        <f>F7</f>
        <v>520449</v>
      </c>
    </row>
    <row r="7" spans="1:7" x14ac:dyDescent="0.25">
      <c r="A7" s="23" t="s">
        <v>45</v>
      </c>
      <c r="B7" s="3">
        <f>3759015.39/G5</f>
        <v>498907.07943460083</v>
      </c>
      <c r="C7" s="4">
        <f>3500000/G5</f>
        <v>464529.82945119118</v>
      </c>
      <c r="D7" s="4">
        <v>560026</v>
      </c>
      <c r="E7" s="4">
        <v>520449</v>
      </c>
      <c r="F7" s="4">
        <v>520449</v>
      </c>
    </row>
    <row r="8" spans="1:7" x14ac:dyDescent="0.25">
      <c r="A8" s="6" t="s">
        <v>96</v>
      </c>
      <c r="B8" s="3">
        <f>SUM(B9:B11)</f>
        <v>87198.763023425578</v>
      </c>
      <c r="C8" s="3">
        <f>SUM(C9:C11)</f>
        <v>134580.92773243084</v>
      </c>
      <c r="D8" s="4">
        <f>SUM(D9:D11)</f>
        <v>94895.280841462605</v>
      </c>
      <c r="E8" s="4">
        <f t="shared" ref="E8:F8" si="0">SUM(E9:E11)</f>
        <v>94895.965890238236</v>
      </c>
      <c r="F8" s="4">
        <f t="shared" si="0"/>
        <v>94895.965890238236</v>
      </c>
    </row>
    <row r="9" spans="1:7" x14ac:dyDescent="0.25">
      <c r="A9" s="23" t="s">
        <v>97</v>
      </c>
      <c r="B9" s="3">
        <f>587000/G5</f>
        <v>77908.288539385496</v>
      </c>
      <c r="C9" s="4">
        <f>904000/G5</f>
        <v>119981.41880682195</v>
      </c>
      <c r="D9" s="4">
        <v>79633</v>
      </c>
      <c r="E9" s="4">
        <f>600000/G5</f>
        <v>79633.685048775631</v>
      </c>
      <c r="F9" s="4">
        <f>600000/G5</f>
        <v>79633.685048775631</v>
      </c>
    </row>
    <row r="10" spans="1:7" x14ac:dyDescent="0.25">
      <c r="A10" s="23" t="s">
        <v>98</v>
      </c>
      <c r="B10" s="3">
        <f>20000/G5</f>
        <v>2654.4561682925209</v>
      </c>
      <c r="C10" s="4">
        <f>20000/G5</f>
        <v>2654.4561682925209</v>
      </c>
      <c r="D10" s="4">
        <v>1990</v>
      </c>
      <c r="E10" s="4">
        <v>1990</v>
      </c>
      <c r="F10" s="4">
        <v>1990</v>
      </c>
    </row>
    <row r="11" spans="1:7" x14ac:dyDescent="0.25">
      <c r="A11" s="23" t="s">
        <v>99</v>
      </c>
      <c r="B11" s="3">
        <f>49999.08/G5</f>
        <v>6636.0183157475612</v>
      </c>
      <c r="C11" s="4">
        <f>90000/G5</f>
        <v>11945.052757316344</v>
      </c>
      <c r="D11" s="4">
        <f>100000/G5</f>
        <v>13272.280841462605</v>
      </c>
      <c r="E11" s="4">
        <f>100000/G5</f>
        <v>13272.280841462605</v>
      </c>
      <c r="F11" s="4">
        <f>100000/G5</f>
        <v>13272.280841462605</v>
      </c>
    </row>
    <row r="12" spans="1:7" x14ac:dyDescent="0.25">
      <c r="A12" s="6" t="s">
        <v>100</v>
      </c>
      <c r="B12" s="3">
        <f>B13</f>
        <v>430.26345477470301</v>
      </c>
      <c r="C12" s="3">
        <f>C13</f>
        <v>0</v>
      </c>
      <c r="D12" s="4">
        <f>D13</f>
        <v>0</v>
      </c>
      <c r="E12" s="4">
        <f t="shared" ref="E12:F12" si="1">E13</f>
        <v>0</v>
      </c>
      <c r="F12" s="4">
        <f t="shared" si="1"/>
        <v>0</v>
      </c>
    </row>
    <row r="13" spans="1:7" x14ac:dyDescent="0.25">
      <c r="A13" s="24" t="s">
        <v>101</v>
      </c>
      <c r="B13" s="3">
        <f>3241.82/G5</f>
        <v>430.26345477470301</v>
      </c>
      <c r="C13" s="4">
        <v>0</v>
      </c>
      <c r="D13" s="4">
        <v>0</v>
      </c>
      <c r="E13" s="4">
        <v>0</v>
      </c>
      <c r="F13" s="4">
        <v>0</v>
      </c>
    </row>
    <row r="14" spans="1:7" x14ac:dyDescent="0.25">
      <c r="A14" s="6" t="s">
        <v>102</v>
      </c>
      <c r="B14" s="3">
        <f>B15</f>
        <v>1595.3560289335721</v>
      </c>
      <c r="C14" s="3">
        <f>C15</f>
        <v>1327.2280841462605</v>
      </c>
      <c r="D14" s="4">
        <f t="shared" ref="D14:F15" si="2">D15</f>
        <v>3318.0702103656513</v>
      </c>
      <c r="E14" s="4">
        <f t="shared" si="2"/>
        <v>3318.0702103656513</v>
      </c>
      <c r="F14" s="4">
        <f t="shared" si="2"/>
        <v>3318.0702103656513</v>
      </c>
    </row>
    <row r="15" spans="1:7" x14ac:dyDescent="0.25">
      <c r="A15" s="24" t="s">
        <v>103</v>
      </c>
      <c r="B15" s="3">
        <f>B16</f>
        <v>1595.3560289335721</v>
      </c>
      <c r="C15" s="3">
        <f>C16</f>
        <v>1327.2280841462605</v>
      </c>
      <c r="D15" s="4">
        <f t="shared" si="2"/>
        <v>3318.0702103656513</v>
      </c>
      <c r="E15" s="4">
        <f t="shared" si="2"/>
        <v>3318.0702103656513</v>
      </c>
      <c r="F15" s="4">
        <f t="shared" si="2"/>
        <v>3318.0702103656513</v>
      </c>
    </row>
    <row r="16" spans="1:7" x14ac:dyDescent="0.25">
      <c r="A16" s="24" t="s">
        <v>104</v>
      </c>
      <c r="B16" s="3">
        <f>12020.21/G5</f>
        <v>1595.3560289335721</v>
      </c>
      <c r="C16" s="4">
        <f>10000/G5</f>
        <v>1327.2280841462605</v>
      </c>
      <c r="D16" s="4">
        <f>25000/G5</f>
        <v>3318.0702103656513</v>
      </c>
      <c r="E16" s="4">
        <f>25000/G5</f>
        <v>3318.0702103656513</v>
      </c>
      <c r="F16" s="4">
        <f>25000/G5</f>
        <v>3318.0702103656513</v>
      </c>
    </row>
    <row r="17" spans="1:6" x14ac:dyDescent="0.25">
      <c r="A17" s="6" t="s">
        <v>105</v>
      </c>
      <c r="B17" s="3">
        <f>B18</f>
        <v>16152.398964762093</v>
      </c>
      <c r="C17" s="3">
        <f>C18</f>
        <v>15926.737009755125</v>
      </c>
      <c r="D17" s="4">
        <f>D18</f>
        <v>12742</v>
      </c>
      <c r="E17" s="4">
        <f>E18</f>
        <v>12741.3896078041</v>
      </c>
      <c r="F17" s="4">
        <f>F18</f>
        <v>12741.3896078041</v>
      </c>
    </row>
    <row r="18" spans="1:6" x14ac:dyDescent="0.25">
      <c r="A18" s="24" t="s">
        <v>106</v>
      </c>
      <c r="B18" s="3">
        <f>121700.25/G5</f>
        <v>16152.398964762093</v>
      </c>
      <c r="C18" s="4">
        <f>120000/G5</f>
        <v>15926.737009755125</v>
      </c>
      <c r="D18" s="4">
        <v>12742</v>
      </c>
      <c r="E18" s="4">
        <f>96000/G5</f>
        <v>12741.3896078041</v>
      </c>
      <c r="F18" s="4">
        <f>96000/G5</f>
        <v>12741.3896078041</v>
      </c>
    </row>
  </sheetData>
  <mergeCells count="1">
    <mergeCell ref="A2:F2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"/>
  <sheetViews>
    <sheetView workbookViewId="0">
      <selection sqref="A1:F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7" ht="45.75" customHeight="1" x14ac:dyDescent="0.25">
      <c r="A1" s="105" t="s">
        <v>110</v>
      </c>
      <c r="B1" s="105"/>
      <c r="C1" s="105"/>
      <c r="D1" s="105"/>
      <c r="E1" s="105"/>
      <c r="F1" s="105"/>
    </row>
    <row r="2" spans="1:7" ht="15.75" x14ac:dyDescent="0.25">
      <c r="A2" s="121" t="s">
        <v>43</v>
      </c>
      <c r="B2" s="122"/>
      <c r="C2" s="122"/>
      <c r="D2" s="122"/>
      <c r="E2" s="122"/>
      <c r="F2" s="122"/>
    </row>
    <row r="3" spans="1:7" ht="18" x14ac:dyDescent="0.25">
      <c r="A3" s="15"/>
      <c r="B3" s="15"/>
      <c r="C3" s="15"/>
      <c r="D3" s="15"/>
      <c r="E3" s="2"/>
      <c r="F3" s="2"/>
    </row>
    <row r="4" spans="1:7" ht="25.5" x14ac:dyDescent="0.25">
      <c r="A4" s="14" t="s">
        <v>23</v>
      </c>
      <c r="B4" s="13" t="s">
        <v>10</v>
      </c>
      <c r="C4" s="14" t="s">
        <v>11</v>
      </c>
      <c r="D4" s="14" t="s">
        <v>36</v>
      </c>
      <c r="E4" s="14" t="s">
        <v>37</v>
      </c>
      <c r="F4" s="14" t="s">
        <v>38</v>
      </c>
    </row>
    <row r="5" spans="1:7" ht="15.75" customHeight="1" x14ac:dyDescent="0.25">
      <c r="A5" s="6" t="s">
        <v>24</v>
      </c>
      <c r="B5" s="3">
        <f t="shared" ref="B5:D6" si="0">B6</f>
        <v>601736.94339372218</v>
      </c>
      <c r="C5" s="4">
        <f t="shared" si="0"/>
        <v>613842.98891764542</v>
      </c>
      <c r="D5" s="4">
        <f t="shared" si="0"/>
        <v>670981</v>
      </c>
      <c r="E5" s="4">
        <f t="shared" ref="E5:F5" si="1">E6</f>
        <v>631404</v>
      </c>
      <c r="F5" s="4">
        <f t="shared" si="1"/>
        <v>631404</v>
      </c>
      <c r="G5" s="94">
        <v>7.5345000000000004</v>
      </c>
    </row>
    <row r="6" spans="1:7" ht="15.75" customHeight="1" x14ac:dyDescent="0.25">
      <c r="A6" s="6" t="s">
        <v>94</v>
      </c>
      <c r="B6" s="3">
        <f t="shared" si="0"/>
        <v>601736.94339372218</v>
      </c>
      <c r="C6" s="4">
        <f t="shared" si="0"/>
        <v>613842.98891764542</v>
      </c>
      <c r="D6" s="4">
        <f t="shared" si="0"/>
        <v>670981</v>
      </c>
      <c r="E6" s="4">
        <f t="shared" ref="E6:F6" si="2">E7</f>
        <v>631404</v>
      </c>
      <c r="F6" s="4">
        <f t="shared" si="2"/>
        <v>631404</v>
      </c>
    </row>
    <row r="7" spans="1:7" x14ac:dyDescent="0.25">
      <c r="A7" s="12" t="s">
        <v>95</v>
      </c>
      <c r="B7" s="3">
        <f>4533787/G5</f>
        <v>601736.94339372218</v>
      </c>
      <c r="C7" s="4">
        <f>4625000/G5</f>
        <v>613842.98891764542</v>
      </c>
      <c r="D7" s="4">
        <v>670981</v>
      </c>
      <c r="E7" s="4">
        <v>631404</v>
      </c>
      <c r="F7" s="4">
        <v>631404</v>
      </c>
    </row>
  </sheetData>
  <mergeCells count="2">
    <mergeCell ref="A2:F2"/>
    <mergeCell ref="A1:F1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8.75" customHeight="1" x14ac:dyDescent="0.25">
      <c r="A1" s="105" t="s">
        <v>110</v>
      </c>
      <c r="B1" s="105"/>
      <c r="C1" s="105"/>
      <c r="D1" s="105"/>
      <c r="E1" s="105"/>
      <c r="F1" s="105"/>
      <c r="G1" s="105"/>
      <c r="H1" s="105"/>
      <c r="I1" s="105"/>
    </row>
    <row r="2" spans="1:10" ht="15.75" x14ac:dyDescent="0.25">
      <c r="A2" s="121" t="s">
        <v>28</v>
      </c>
      <c r="B2" s="121"/>
      <c r="C2" s="121"/>
      <c r="D2" s="121"/>
      <c r="E2" s="121"/>
      <c r="F2" s="121"/>
      <c r="G2" s="121"/>
      <c r="H2" s="123"/>
      <c r="I2" s="123"/>
    </row>
    <row r="3" spans="1:10" ht="18" x14ac:dyDescent="0.25">
      <c r="A3" s="1"/>
      <c r="B3" s="1"/>
      <c r="C3" s="1"/>
      <c r="D3" s="1"/>
      <c r="E3" s="1"/>
      <c r="F3" s="1"/>
      <c r="G3" s="1"/>
      <c r="H3" s="2"/>
      <c r="I3" s="2"/>
    </row>
    <row r="4" spans="1:10" ht="18" customHeight="1" x14ac:dyDescent="0.25">
      <c r="A4" s="121" t="s">
        <v>25</v>
      </c>
      <c r="B4" s="124"/>
      <c r="C4" s="124"/>
      <c r="D4" s="124"/>
      <c r="E4" s="124"/>
      <c r="F4" s="124"/>
      <c r="G4" s="124"/>
      <c r="H4" s="124"/>
      <c r="I4" s="124"/>
    </row>
    <row r="5" spans="1:10" ht="18" x14ac:dyDescent="0.25">
      <c r="A5" s="1"/>
      <c r="B5" s="1"/>
      <c r="C5" s="1"/>
      <c r="D5" s="1"/>
      <c r="E5" s="1"/>
      <c r="F5" s="1"/>
      <c r="G5" s="1"/>
      <c r="H5" s="2"/>
      <c r="I5" s="2"/>
    </row>
    <row r="6" spans="1:10" ht="25.5" x14ac:dyDescent="0.25">
      <c r="A6" s="14" t="s">
        <v>14</v>
      </c>
      <c r="B6" s="13" t="s">
        <v>15</v>
      </c>
      <c r="C6" s="13" t="s">
        <v>16</v>
      </c>
      <c r="D6" s="13" t="s">
        <v>30</v>
      </c>
      <c r="E6" s="13" t="s">
        <v>10</v>
      </c>
      <c r="F6" s="14" t="s">
        <v>11</v>
      </c>
      <c r="G6" s="14" t="s">
        <v>36</v>
      </c>
      <c r="H6" s="14" t="s">
        <v>37</v>
      </c>
      <c r="I6" s="14" t="s">
        <v>38</v>
      </c>
    </row>
    <row r="7" spans="1:10" ht="26.25" x14ac:dyDescent="0.25">
      <c r="A7" s="40">
        <v>5</v>
      </c>
      <c r="B7" s="41"/>
      <c r="C7" s="41"/>
      <c r="D7" s="42" t="s">
        <v>26</v>
      </c>
      <c r="E7" s="44">
        <f t="shared" ref="E7:G8" si="0">E8</f>
        <v>2546.9068949498969</v>
      </c>
      <c r="F7" s="44">
        <f t="shared" si="0"/>
        <v>2521.7333598778951</v>
      </c>
      <c r="G7" s="47">
        <f t="shared" si="0"/>
        <v>623.79719954874247</v>
      </c>
      <c r="H7" s="47">
        <f t="shared" ref="H7:I7" si="1">H8</f>
        <v>0</v>
      </c>
      <c r="I7" s="47">
        <f t="shared" si="1"/>
        <v>0</v>
      </c>
      <c r="J7" s="94">
        <v>7.5345000000000004</v>
      </c>
    </row>
    <row r="8" spans="1:10" ht="26.25" x14ac:dyDescent="0.25">
      <c r="A8" s="41"/>
      <c r="B8" s="43">
        <v>54</v>
      </c>
      <c r="C8" s="41"/>
      <c r="D8" s="42" t="s">
        <v>32</v>
      </c>
      <c r="E8" s="44">
        <f t="shared" si="0"/>
        <v>2546.9068949498969</v>
      </c>
      <c r="F8" s="44">
        <f t="shared" si="0"/>
        <v>2521.7333598778951</v>
      </c>
      <c r="G8" s="47">
        <f t="shared" si="0"/>
        <v>623.79719954874247</v>
      </c>
      <c r="H8" s="47">
        <f t="shared" ref="H8:I8" si="2">H9</f>
        <v>0</v>
      </c>
      <c r="I8" s="47">
        <f t="shared" si="2"/>
        <v>0</v>
      </c>
    </row>
    <row r="9" spans="1:10" x14ac:dyDescent="0.25">
      <c r="A9" s="41"/>
      <c r="B9" s="43"/>
      <c r="C9" s="45">
        <v>11</v>
      </c>
      <c r="D9" s="46" t="s">
        <v>18</v>
      </c>
      <c r="E9" s="44">
        <f>19189.67/J7</f>
        <v>2546.9068949498969</v>
      </c>
      <c r="F9" s="44">
        <f>19000/J7</f>
        <v>2521.7333598778951</v>
      </c>
      <c r="G9" s="47">
        <f>4700/J7</f>
        <v>623.79719954874247</v>
      </c>
      <c r="H9" s="47">
        <v>0</v>
      </c>
      <c r="I9" s="47">
        <v>0</v>
      </c>
    </row>
  </sheetData>
  <mergeCells count="3">
    <mergeCell ref="A2:I2"/>
    <mergeCell ref="A4:I4"/>
    <mergeCell ref="A1:I1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97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7.85546875" customWidth="1"/>
    <col min="4" max="4" width="30.85546875" customWidth="1"/>
    <col min="5" max="9" width="24.28515625" customWidth="1"/>
  </cols>
  <sheetData>
    <row r="1" spans="1:10" s="39" customFormat="1" ht="42.75" customHeight="1" x14ac:dyDescent="0.25">
      <c r="A1" s="105" t="s">
        <v>110</v>
      </c>
      <c r="B1" s="105"/>
      <c r="C1" s="105"/>
      <c r="D1" s="105"/>
      <c r="E1" s="105"/>
      <c r="F1" s="105"/>
      <c r="G1" s="105"/>
      <c r="H1" s="105"/>
      <c r="I1" s="105"/>
    </row>
    <row r="2" spans="1:10" ht="18" customHeight="1" x14ac:dyDescent="0.25">
      <c r="A2" s="121" t="s">
        <v>27</v>
      </c>
      <c r="B2" s="124"/>
      <c r="C2" s="124"/>
      <c r="D2" s="124"/>
      <c r="E2" s="124"/>
      <c r="F2" s="124"/>
      <c r="G2" s="124"/>
      <c r="H2" s="124"/>
      <c r="I2" s="124"/>
    </row>
    <row r="3" spans="1:10" ht="18" x14ac:dyDescent="0.25">
      <c r="A3" s="1"/>
      <c r="B3" s="1"/>
      <c r="C3" s="1"/>
      <c r="D3" s="1"/>
      <c r="E3" s="1"/>
      <c r="F3" s="1"/>
      <c r="G3" s="1"/>
      <c r="H3" s="2"/>
      <c r="I3" s="2"/>
    </row>
    <row r="4" spans="1:10" ht="25.5" x14ac:dyDescent="0.25">
      <c r="A4" s="134" t="s">
        <v>29</v>
      </c>
      <c r="B4" s="135"/>
      <c r="C4" s="136"/>
      <c r="D4" s="13" t="s">
        <v>30</v>
      </c>
      <c r="E4" s="13" t="s">
        <v>10</v>
      </c>
      <c r="F4" s="14" t="s">
        <v>11</v>
      </c>
      <c r="G4" s="14" t="s">
        <v>36</v>
      </c>
      <c r="H4" s="14" t="s">
        <v>37</v>
      </c>
      <c r="I4" s="14" t="s">
        <v>38</v>
      </c>
      <c r="J4" s="94">
        <v>7.5345000000000004</v>
      </c>
    </row>
    <row r="5" spans="1:10" ht="25.5" x14ac:dyDescent="0.25">
      <c r="A5" s="140" t="s">
        <v>47</v>
      </c>
      <c r="B5" s="141"/>
      <c r="C5" s="142"/>
      <c r="D5" s="21" t="s">
        <v>48</v>
      </c>
      <c r="E5" s="3">
        <f>E6</f>
        <v>604283.86090649676</v>
      </c>
      <c r="F5" s="3">
        <f t="shared" ref="F5:G6" si="0">F6</f>
        <v>616364.72227752337</v>
      </c>
      <c r="G5" s="4">
        <f t="shared" si="0"/>
        <v>671605</v>
      </c>
      <c r="H5" s="4">
        <f t="shared" ref="H5:I6" si="1">H6</f>
        <v>631404.05965890235</v>
      </c>
      <c r="I5" s="4">
        <f t="shared" si="1"/>
        <v>631404.05965890235</v>
      </c>
    </row>
    <row r="6" spans="1:10" x14ac:dyDescent="0.25">
      <c r="A6" s="143" t="s">
        <v>49</v>
      </c>
      <c r="B6" s="144"/>
      <c r="C6" s="145"/>
      <c r="D6" s="21" t="s">
        <v>50</v>
      </c>
      <c r="E6" s="3">
        <f>E7</f>
        <v>604283.86090649676</v>
      </c>
      <c r="F6" s="3">
        <f t="shared" si="0"/>
        <v>616364.72227752337</v>
      </c>
      <c r="G6" s="4">
        <f t="shared" si="0"/>
        <v>671605</v>
      </c>
      <c r="H6" s="4">
        <f t="shared" si="1"/>
        <v>631404.05965890235</v>
      </c>
      <c r="I6" s="4">
        <f t="shared" si="1"/>
        <v>631404.05965890235</v>
      </c>
    </row>
    <row r="7" spans="1:10" x14ac:dyDescent="0.25">
      <c r="A7" s="137" t="s">
        <v>52</v>
      </c>
      <c r="B7" s="138"/>
      <c r="C7" s="139"/>
      <c r="D7" s="21" t="s">
        <v>50</v>
      </c>
      <c r="E7" s="3">
        <f>E8+E19</f>
        <v>604283.86090649676</v>
      </c>
      <c r="F7" s="3">
        <f>F8+F19</f>
        <v>616364.72227752337</v>
      </c>
      <c r="G7" s="4">
        <f>G8+G19</f>
        <v>671605</v>
      </c>
      <c r="H7" s="4">
        <f>H8+H19</f>
        <v>631404.05965890235</v>
      </c>
      <c r="I7" s="4">
        <f>I8+I19</f>
        <v>631404.05965890235</v>
      </c>
    </row>
    <row r="8" spans="1:10" x14ac:dyDescent="0.25">
      <c r="A8" s="128" t="s">
        <v>51</v>
      </c>
      <c r="B8" s="129"/>
      <c r="C8" s="130"/>
      <c r="D8" s="20" t="s">
        <v>53</v>
      </c>
      <c r="E8" s="3">
        <f t="shared" ref="E8:G9" si="2">E9</f>
        <v>386009.4724268365</v>
      </c>
      <c r="F8" s="3">
        <f t="shared" si="2"/>
        <v>450726.65737607004</v>
      </c>
      <c r="G8" s="4">
        <f t="shared" si="2"/>
        <v>512223</v>
      </c>
      <c r="H8" s="4">
        <f t="shared" ref="H8:I9" si="3">H9</f>
        <v>511600.44561682927</v>
      </c>
      <c r="I8" s="4">
        <f t="shared" si="3"/>
        <v>511600.44561682927</v>
      </c>
    </row>
    <row r="9" spans="1:10" x14ac:dyDescent="0.25">
      <c r="A9" s="131" t="s">
        <v>54</v>
      </c>
      <c r="B9" s="132"/>
      <c r="C9" s="133"/>
      <c r="D9" s="20" t="s">
        <v>56</v>
      </c>
      <c r="E9" s="3">
        <f>E10</f>
        <v>386009.4724268365</v>
      </c>
      <c r="F9" s="3">
        <f t="shared" si="2"/>
        <v>450726.65737607004</v>
      </c>
      <c r="G9" s="4">
        <f t="shared" si="2"/>
        <v>512223</v>
      </c>
      <c r="H9" s="4">
        <f>H10</f>
        <v>511600.44561682927</v>
      </c>
      <c r="I9" s="4">
        <f t="shared" si="3"/>
        <v>511600.44561682927</v>
      </c>
    </row>
    <row r="10" spans="1:10" x14ac:dyDescent="0.25">
      <c r="A10" s="149" t="s">
        <v>55</v>
      </c>
      <c r="B10" s="150"/>
      <c r="C10" s="151"/>
      <c r="D10" s="19" t="s">
        <v>18</v>
      </c>
      <c r="E10" s="3">
        <f>E11+E15+E17</f>
        <v>386009.4724268365</v>
      </c>
      <c r="F10" s="3">
        <f>F11+F15+F17</f>
        <v>450726.65737607004</v>
      </c>
      <c r="G10" s="4">
        <f>G11+G15+G17</f>
        <v>512223</v>
      </c>
      <c r="H10" s="4">
        <f>H11+H15+H17</f>
        <v>511600.44561682927</v>
      </c>
      <c r="I10" s="4">
        <f>I11+I15+I17</f>
        <v>511600.44561682927</v>
      </c>
    </row>
    <row r="11" spans="1:10" x14ac:dyDescent="0.25">
      <c r="A11" s="146" t="s">
        <v>57</v>
      </c>
      <c r="B11" s="147"/>
      <c r="C11" s="148"/>
      <c r="D11" s="19" t="s">
        <v>20</v>
      </c>
      <c r="E11" s="3">
        <f>SUM(E12:E14)</f>
        <v>377898.85858384758</v>
      </c>
      <c r="F11" s="3">
        <f>SUM(F12:F14)</f>
        <v>448072.20120777754</v>
      </c>
      <c r="G11" s="4">
        <f>SUM(G12:G14)</f>
        <v>511201</v>
      </c>
      <c r="H11" s="4">
        <f>SUM(H12:H14)</f>
        <v>511202.44561682927</v>
      </c>
      <c r="I11" s="4">
        <f>SUM(I12:I14)</f>
        <v>511202.44561682927</v>
      </c>
    </row>
    <row r="12" spans="1:10" x14ac:dyDescent="0.25">
      <c r="A12" s="125" t="s">
        <v>58</v>
      </c>
      <c r="B12" s="126"/>
      <c r="C12" s="127"/>
      <c r="D12" s="19" t="s">
        <v>21</v>
      </c>
      <c r="E12" s="3">
        <f>2349610.13/J4</f>
        <v>311846.8551330546</v>
      </c>
      <c r="F12" s="4">
        <f>2763000/J4</f>
        <v>366713.11964961176</v>
      </c>
      <c r="G12" s="4">
        <v>432347</v>
      </c>
      <c r="H12" s="4">
        <v>432347</v>
      </c>
      <c r="I12" s="4">
        <v>432347</v>
      </c>
    </row>
    <row r="13" spans="1:10" s="26" customFormat="1" x14ac:dyDescent="0.25">
      <c r="A13" s="125" t="s">
        <v>59</v>
      </c>
      <c r="B13" s="126"/>
      <c r="C13" s="127"/>
      <c r="D13" s="22" t="s">
        <v>31</v>
      </c>
      <c r="E13" s="3">
        <f>495450.24/J4</f>
        <v>65757.547282500498</v>
      </c>
      <c r="F13" s="4">
        <f>611000/J4</f>
        <v>81093.635941336513</v>
      </c>
      <c r="G13" s="4">
        <v>78589</v>
      </c>
      <c r="H13" s="4">
        <v>78590</v>
      </c>
      <c r="I13" s="4">
        <v>78590</v>
      </c>
    </row>
    <row r="14" spans="1:10" x14ac:dyDescent="0.25">
      <c r="A14" s="125" t="s">
        <v>60</v>
      </c>
      <c r="B14" s="152"/>
      <c r="C14" s="153"/>
      <c r="D14" s="22" t="s">
        <v>61</v>
      </c>
      <c r="E14" s="3">
        <f>2218.58/J4</f>
        <v>294.45616829252106</v>
      </c>
      <c r="F14" s="4">
        <f>2000/J4</f>
        <v>265.44561682925212</v>
      </c>
      <c r="G14" s="4">
        <v>265</v>
      </c>
      <c r="H14" s="4">
        <f>2000/J4</f>
        <v>265.44561682925212</v>
      </c>
      <c r="I14" s="4">
        <f>2000/J4</f>
        <v>265.44561682925212</v>
      </c>
    </row>
    <row r="15" spans="1:10" ht="25.5" x14ac:dyDescent="0.25">
      <c r="A15" s="146" t="s">
        <v>63</v>
      </c>
      <c r="B15" s="154"/>
      <c r="C15" s="155"/>
      <c r="D15" s="22" t="s">
        <v>22</v>
      </c>
      <c r="E15" s="3">
        <f>E16</f>
        <v>5563.7069480390201</v>
      </c>
      <c r="F15" s="3">
        <f>F16</f>
        <v>132.72280841462606</v>
      </c>
      <c r="G15" s="4">
        <f>G16</f>
        <v>398</v>
      </c>
      <c r="H15" s="4">
        <f>H16</f>
        <v>398</v>
      </c>
      <c r="I15" s="4">
        <f>I16</f>
        <v>398</v>
      </c>
    </row>
    <row r="16" spans="1:10" ht="25.5" x14ac:dyDescent="0.25">
      <c r="A16" s="125" t="s">
        <v>62</v>
      </c>
      <c r="B16" s="152"/>
      <c r="C16" s="153"/>
      <c r="D16" s="22" t="s">
        <v>64</v>
      </c>
      <c r="E16" s="3">
        <f>41919.75/J4</f>
        <v>5563.7069480390201</v>
      </c>
      <c r="F16" s="4">
        <f>1000/J4</f>
        <v>132.72280841462606</v>
      </c>
      <c r="G16" s="4">
        <v>398</v>
      </c>
      <c r="H16" s="4">
        <v>398</v>
      </c>
      <c r="I16" s="4">
        <v>398</v>
      </c>
    </row>
    <row r="17" spans="1:9" ht="25.5" x14ac:dyDescent="0.25">
      <c r="A17" s="146" t="s">
        <v>65</v>
      </c>
      <c r="B17" s="154"/>
      <c r="C17" s="155"/>
      <c r="D17" s="22" t="s">
        <v>26</v>
      </c>
      <c r="E17" s="3">
        <f>E18</f>
        <v>2546.9068949498969</v>
      </c>
      <c r="F17" s="3">
        <f>F18</f>
        <v>2521.7333598778951</v>
      </c>
      <c r="G17" s="4">
        <f>G18</f>
        <v>624</v>
      </c>
      <c r="H17" s="4">
        <f>H18</f>
        <v>0</v>
      </c>
      <c r="I17" s="4">
        <f>I18</f>
        <v>0</v>
      </c>
    </row>
    <row r="18" spans="1:9" ht="25.5" x14ac:dyDescent="0.25">
      <c r="A18" s="125" t="s">
        <v>66</v>
      </c>
      <c r="B18" s="152"/>
      <c r="C18" s="153"/>
      <c r="D18" s="22" t="s">
        <v>32</v>
      </c>
      <c r="E18" s="3">
        <f>19189.67/J4</f>
        <v>2546.9068949498969</v>
      </c>
      <c r="F18" s="4">
        <f>19000/J4</f>
        <v>2521.7333598778951</v>
      </c>
      <c r="G18" s="4">
        <v>624</v>
      </c>
      <c r="H18" s="4">
        <v>0</v>
      </c>
      <c r="I18" s="4">
        <v>0</v>
      </c>
    </row>
    <row r="19" spans="1:9" ht="25.5" x14ac:dyDescent="0.25">
      <c r="A19" s="128" t="s">
        <v>67</v>
      </c>
      <c r="B19" s="129"/>
      <c r="C19" s="130"/>
      <c r="D19" s="20" t="s">
        <v>68</v>
      </c>
      <c r="E19" s="3">
        <f>E20+E40+E50+E54+E71+E84+E94</f>
        <v>218274.38847966024</v>
      </c>
      <c r="F19" s="4">
        <f>F20+F40+F54+F71+F84</f>
        <v>165638.06490145333</v>
      </c>
      <c r="G19" s="4">
        <f>G20+G40+G54+G71+G84</f>
        <v>159382</v>
      </c>
      <c r="H19" s="4">
        <f>H20+H40+H54+H71+H84</f>
        <v>119803.61404207312</v>
      </c>
      <c r="I19" s="4">
        <f>I20+I40+I54+I71+I84</f>
        <v>119803.61404207312</v>
      </c>
    </row>
    <row r="20" spans="1:9" ht="25.5" x14ac:dyDescent="0.25">
      <c r="A20" s="131" t="s">
        <v>69</v>
      </c>
      <c r="B20" s="132"/>
      <c r="C20" s="133"/>
      <c r="D20" s="20" t="s">
        <v>70</v>
      </c>
      <c r="E20" s="3">
        <f>E21+E26+E29+E34+E37</f>
        <v>19448.977370761164</v>
      </c>
      <c r="F20" s="3">
        <f>F21+F26+F29+F34+F37</f>
        <v>13935.894883535733</v>
      </c>
      <c r="G20" s="4">
        <f>G21+G26+G29+G34+G37</f>
        <v>28450</v>
      </c>
      <c r="H20" s="4">
        <f>H21+H26+H29+H34+H37</f>
        <v>5310.6140420731299</v>
      </c>
      <c r="I20" s="4">
        <f>I21+I26+I29+I34+I37</f>
        <v>5310.6140420731299</v>
      </c>
    </row>
    <row r="21" spans="1:9" ht="15" customHeight="1" x14ac:dyDescent="0.25">
      <c r="A21" s="149" t="s">
        <v>55</v>
      </c>
      <c r="B21" s="150"/>
      <c r="C21" s="151"/>
      <c r="D21" s="19" t="s">
        <v>18</v>
      </c>
      <c r="E21" s="3">
        <f>E22+E24</f>
        <v>19018.71391598646</v>
      </c>
      <c r="F21" s="3">
        <f>F22+F24</f>
        <v>7697.9228880483106</v>
      </c>
      <c r="G21" s="4">
        <f>G22+G24</f>
        <v>27122</v>
      </c>
      <c r="H21" s="4">
        <f>H22+H24</f>
        <v>3983</v>
      </c>
      <c r="I21" s="4">
        <f>I22+I24</f>
        <v>3983</v>
      </c>
    </row>
    <row r="22" spans="1:9" x14ac:dyDescent="0.25">
      <c r="A22" s="146" t="s">
        <v>57</v>
      </c>
      <c r="B22" s="147"/>
      <c r="C22" s="148"/>
      <c r="D22" s="22" t="s">
        <v>20</v>
      </c>
      <c r="E22" s="3">
        <f>E23</f>
        <v>11857.853872187934</v>
      </c>
      <c r="F22" s="3">
        <f>F23</f>
        <v>3716.2386356095294</v>
      </c>
      <c r="G22" s="4">
        <f>G23</f>
        <v>18092</v>
      </c>
      <c r="H22" s="4">
        <f t="shared" ref="H22:I22" si="4">H23</f>
        <v>1992</v>
      </c>
      <c r="I22" s="4">
        <f t="shared" si="4"/>
        <v>1992</v>
      </c>
    </row>
    <row r="23" spans="1:9" ht="15" customHeight="1" x14ac:dyDescent="0.25">
      <c r="A23" s="125" t="s">
        <v>59</v>
      </c>
      <c r="B23" s="126"/>
      <c r="C23" s="127"/>
      <c r="D23" s="22" t="s">
        <v>31</v>
      </c>
      <c r="E23" s="3">
        <f>89343/J4</f>
        <v>11857.853872187934</v>
      </c>
      <c r="F23" s="4">
        <f>28000/J4</f>
        <v>3716.2386356095294</v>
      </c>
      <c r="G23" s="4">
        <v>18092</v>
      </c>
      <c r="H23" s="4">
        <v>1992</v>
      </c>
      <c r="I23" s="4">
        <v>1992</v>
      </c>
    </row>
    <row r="24" spans="1:9" ht="25.5" x14ac:dyDescent="0.25">
      <c r="A24" s="146" t="s">
        <v>63</v>
      </c>
      <c r="B24" s="147"/>
      <c r="C24" s="148"/>
      <c r="D24" s="22" t="s">
        <v>22</v>
      </c>
      <c r="E24" s="3">
        <f>E25</f>
        <v>7160.860043798526</v>
      </c>
      <c r="F24" s="3">
        <f>F25</f>
        <v>3981.6842524387812</v>
      </c>
      <c r="G24" s="4">
        <f>G25</f>
        <v>9030</v>
      </c>
      <c r="H24" s="4">
        <f>H25</f>
        <v>1991</v>
      </c>
      <c r="I24" s="4">
        <f>I25</f>
        <v>1991</v>
      </c>
    </row>
    <row r="25" spans="1:9" ht="25.5" x14ac:dyDescent="0.25">
      <c r="A25" s="156" t="s">
        <v>62</v>
      </c>
      <c r="B25" s="156"/>
      <c r="C25" s="156"/>
      <c r="D25" s="31" t="s">
        <v>64</v>
      </c>
      <c r="E25" s="3">
        <f>53953.5/J4</f>
        <v>7160.860043798526</v>
      </c>
      <c r="F25" s="36">
        <f>30000/J4</f>
        <v>3981.6842524387812</v>
      </c>
      <c r="G25" s="35">
        <v>9030</v>
      </c>
      <c r="H25" s="35">
        <v>1991</v>
      </c>
      <c r="I25" s="35">
        <v>1991</v>
      </c>
    </row>
    <row r="26" spans="1:9" x14ac:dyDescent="0.25">
      <c r="A26" s="158" t="s">
        <v>88</v>
      </c>
      <c r="B26" s="159"/>
      <c r="C26" s="160"/>
      <c r="D26" s="31" t="s">
        <v>89</v>
      </c>
      <c r="E26" s="3">
        <f t="shared" ref="E26:G27" si="5">E27</f>
        <v>430.26345477470301</v>
      </c>
      <c r="F26" s="3">
        <f t="shared" si="5"/>
        <v>0</v>
      </c>
      <c r="G26" s="35">
        <f t="shared" si="5"/>
        <v>0</v>
      </c>
      <c r="H26" s="35">
        <f t="shared" ref="H26:I27" si="6">H27</f>
        <v>0</v>
      </c>
      <c r="I26" s="35">
        <f t="shared" si="6"/>
        <v>0</v>
      </c>
    </row>
    <row r="27" spans="1:9" x14ac:dyDescent="0.25">
      <c r="A27" s="146" t="s">
        <v>57</v>
      </c>
      <c r="B27" s="147"/>
      <c r="C27" s="148"/>
      <c r="D27" s="31" t="s">
        <v>20</v>
      </c>
      <c r="E27" s="3">
        <f t="shared" si="5"/>
        <v>430.26345477470301</v>
      </c>
      <c r="F27" s="3">
        <f t="shared" si="5"/>
        <v>0</v>
      </c>
      <c r="G27" s="35">
        <f t="shared" si="5"/>
        <v>0</v>
      </c>
      <c r="H27" s="35">
        <f t="shared" si="6"/>
        <v>0</v>
      </c>
      <c r="I27" s="35">
        <f t="shared" si="6"/>
        <v>0</v>
      </c>
    </row>
    <row r="28" spans="1:9" x14ac:dyDescent="0.25">
      <c r="A28" s="125" t="s">
        <v>59</v>
      </c>
      <c r="B28" s="126"/>
      <c r="C28" s="127"/>
      <c r="D28" s="31" t="s">
        <v>31</v>
      </c>
      <c r="E28" s="3">
        <f>3241.82/J4</f>
        <v>430.26345477470301</v>
      </c>
      <c r="F28" s="36">
        <v>0</v>
      </c>
      <c r="G28" s="35">
        <v>0</v>
      </c>
      <c r="H28" s="35">
        <v>0</v>
      </c>
      <c r="I28" s="35">
        <v>0</v>
      </c>
    </row>
    <row r="29" spans="1:9" x14ac:dyDescent="0.25">
      <c r="A29" s="157" t="s">
        <v>71</v>
      </c>
      <c r="B29" s="157"/>
      <c r="C29" s="157"/>
      <c r="D29" s="31" t="s">
        <v>72</v>
      </c>
      <c r="E29" s="34">
        <f>E30</f>
        <v>0</v>
      </c>
      <c r="F29" s="34">
        <f>F30+F32</f>
        <v>6237.9719954874236</v>
      </c>
      <c r="G29" s="35">
        <f>G30</f>
        <v>0</v>
      </c>
      <c r="H29" s="35">
        <f t="shared" ref="H29:I29" si="7">H30</f>
        <v>0</v>
      </c>
      <c r="I29" s="35">
        <f t="shared" si="7"/>
        <v>0</v>
      </c>
    </row>
    <row r="30" spans="1:9" x14ac:dyDescent="0.25">
      <c r="A30" s="146" t="s">
        <v>57</v>
      </c>
      <c r="B30" s="147"/>
      <c r="C30" s="148"/>
      <c r="D30" s="30" t="s">
        <v>20</v>
      </c>
      <c r="E30" s="35">
        <f>E31</f>
        <v>0</v>
      </c>
      <c r="F30" s="35">
        <f>F31</f>
        <v>5574.3579534142937</v>
      </c>
      <c r="G30" s="35">
        <f>G31</f>
        <v>0</v>
      </c>
      <c r="H30" s="35">
        <f t="shared" ref="H30:I30" si="8">H31</f>
        <v>0</v>
      </c>
      <c r="I30" s="35">
        <f t="shared" si="8"/>
        <v>0</v>
      </c>
    </row>
    <row r="31" spans="1:9" x14ac:dyDescent="0.25">
      <c r="A31" s="125" t="s">
        <v>59</v>
      </c>
      <c r="B31" s="126"/>
      <c r="C31" s="127"/>
      <c r="D31" s="30" t="s">
        <v>31</v>
      </c>
      <c r="E31" s="35">
        <v>0</v>
      </c>
      <c r="F31" s="36">
        <f>42000/J4</f>
        <v>5574.3579534142937</v>
      </c>
      <c r="G31" s="35">
        <v>0</v>
      </c>
      <c r="H31" s="35">
        <v>0</v>
      </c>
      <c r="I31" s="35">
        <v>0</v>
      </c>
    </row>
    <row r="32" spans="1:9" ht="25.5" x14ac:dyDescent="0.25">
      <c r="A32" s="146" t="s">
        <v>63</v>
      </c>
      <c r="B32" s="147"/>
      <c r="C32" s="148"/>
      <c r="D32" s="30" t="s">
        <v>22</v>
      </c>
      <c r="E32" s="35">
        <f>E33</f>
        <v>0</v>
      </c>
      <c r="F32" s="36">
        <f>5000/J4</f>
        <v>663.61404207313024</v>
      </c>
      <c r="G32" s="35">
        <f>G33</f>
        <v>0</v>
      </c>
      <c r="H32" s="35">
        <f t="shared" ref="H32:I32" si="9">H33</f>
        <v>0</v>
      </c>
      <c r="I32" s="35">
        <f t="shared" si="9"/>
        <v>0</v>
      </c>
    </row>
    <row r="33" spans="1:9" ht="25.5" x14ac:dyDescent="0.25">
      <c r="A33" s="156" t="s">
        <v>62</v>
      </c>
      <c r="B33" s="156"/>
      <c r="C33" s="156"/>
      <c r="D33" s="31" t="s">
        <v>64</v>
      </c>
      <c r="E33" s="35">
        <v>0</v>
      </c>
      <c r="F33" s="36">
        <f>5000/J4</f>
        <v>663.61404207313024</v>
      </c>
      <c r="G33" s="35">
        <v>0</v>
      </c>
      <c r="H33" s="35">
        <v>0</v>
      </c>
      <c r="I33" s="35">
        <v>0</v>
      </c>
    </row>
    <row r="34" spans="1:9" s="48" customFormat="1" x14ac:dyDescent="0.25">
      <c r="A34" s="158" t="s">
        <v>79</v>
      </c>
      <c r="B34" s="159"/>
      <c r="C34" s="160"/>
      <c r="D34" s="30" t="s">
        <v>41</v>
      </c>
      <c r="E34" s="34">
        <f>E35</f>
        <v>0</v>
      </c>
      <c r="F34" s="34">
        <f>F35</f>
        <v>0</v>
      </c>
      <c r="G34" s="35">
        <f>G35</f>
        <v>664</v>
      </c>
      <c r="H34" s="35">
        <f>H35</f>
        <v>664</v>
      </c>
      <c r="I34" s="35">
        <f>I35</f>
        <v>664</v>
      </c>
    </row>
    <row r="35" spans="1:9" s="48" customFormat="1" x14ac:dyDescent="0.25">
      <c r="A35" s="146" t="s">
        <v>57</v>
      </c>
      <c r="B35" s="147"/>
      <c r="C35" s="148"/>
      <c r="D35" s="30" t="s">
        <v>20</v>
      </c>
      <c r="E35" s="35">
        <f>E36</f>
        <v>0</v>
      </c>
      <c r="F35" s="35">
        <f>F36</f>
        <v>0</v>
      </c>
      <c r="G35" s="35">
        <f>G36</f>
        <v>664</v>
      </c>
      <c r="H35" s="35">
        <f t="shared" ref="H35:I35" si="10">H36</f>
        <v>664</v>
      </c>
      <c r="I35" s="35">
        <f t="shared" si="10"/>
        <v>664</v>
      </c>
    </row>
    <row r="36" spans="1:9" s="48" customFormat="1" x14ac:dyDescent="0.25">
      <c r="A36" s="125" t="s">
        <v>59</v>
      </c>
      <c r="B36" s="126"/>
      <c r="C36" s="127"/>
      <c r="D36" s="30" t="s">
        <v>31</v>
      </c>
      <c r="E36" s="35">
        <v>0</v>
      </c>
      <c r="F36" s="36">
        <v>0</v>
      </c>
      <c r="G36" s="35">
        <v>664</v>
      </c>
      <c r="H36" s="35">
        <v>664</v>
      </c>
      <c r="I36" s="35">
        <v>664</v>
      </c>
    </row>
    <row r="37" spans="1:9" s="48" customFormat="1" x14ac:dyDescent="0.25">
      <c r="A37" s="149" t="s">
        <v>80</v>
      </c>
      <c r="B37" s="150"/>
      <c r="C37" s="151"/>
      <c r="D37" s="30" t="s">
        <v>33</v>
      </c>
      <c r="E37" s="35">
        <f t="shared" ref="E37:G38" si="11">E38</f>
        <v>0</v>
      </c>
      <c r="F37" s="35">
        <f t="shared" si="11"/>
        <v>0</v>
      </c>
      <c r="G37" s="35">
        <f t="shared" si="11"/>
        <v>664</v>
      </c>
      <c r="H37" s="35">
        <f>5000/J4</f>
        <v>663.61404207313024</v>
      </c>
      <c r="I37" s="35">
        <f>5000/J4</f>
        <v>663.61404207313024</v>
      </c>
    </row>
    <row r="38" spans="1:9" s="48" customFormat="1" ht="25.5" x14ac:dyDescent="0.25">
      <c r="A38" s="146" t="s">
        <v>63</v>
      </c>
      <c r="B38" s="147"/>
      <c r="C38" s="148"/>
      <c r="D38" s="30" t="s">
        <v>22</v>
      </c>
      <c r="E38" s="35">
        <f t="shared" si="11"/>
        <v>0</v>
      </c>
      <c r="F38" s="35">
        <f t="shared" si="11"/>
        <v>0</v>
      </c>
      <c r="G38" s="35">
        <f t="shared" si="11"/>
        <v>664</v>
      </c>
      <c r="H38" s="35">
        <f t="shared" ref="H38:I38" si="12">H39</f>
        <v>664</v>
      </c>
      <c r="I38" s="35">
        <f t="shared" si="12"/>
        <v>664</v>
      </c>
    </row>
    <row r="39" spans="1:9" s="48" customFormat="1" ht="25.5" x14ac:dyDescent="0.25">
      <c r="A39" s="156" t="s">
        <v>62</v>
      </c>
      <c r="B39" s="156"/>
      <c r="C39" s="156"/>
      <c r="D39" s="31" t="s">
        <v>64</v>
      </c>
      <c r="E39" s="35">
        <v>0</v>
      </c>
      <c r="F39" s="36">
        <v>0</v>
      </c>
      <c r="G39" s="35">
        <v>664</v>
      </c>
      <c r="H39" s="35">
        <v>664</v>
      </c>
      <c r="I39" s="35">
        <v>664</v>
      </c>
    </row>
    <row r="40" spans="1:9" x14ac:dyDescent="0.25">
      <c r="A40" s="164" t="s">
        <v>73</v>
      </c>
      <c r="B40" s="164"/>
      <c r="C40" s="164"/>
      <c r="D40" s="33" t="s">
        <v>74</v>
      </c>
      <c r="E40" s="35">
        <f>E41+E44</f>
        <v>66372.254296900923</v>
      </c>
      <c r="F40" s="35">
        <f>F41+F44</f>
        <v>91844.183422921225</v>
      </c>
      <c r="G40" s="35">
        <f>G41+G44</f>
        <v>66361</v>
      </c>
      <c r="H40" s="35">
        <f t="shared" ref="H40:I40" si="13">H41+H44</f>
        <v>66361</v>
      </c>
      <c r="I40" s="35">
        <f t="shared" si="13"/>
        <v>66361</v>
      </c>
    </row>
    <row r="41" spans="1:9" x14ac:dyDescent="0.25">
      <c r="A41" s="165" t="s">
        <v>55</v>
      </c>
      <c r="B41" s="165"/>
      <c r="C41" s="165"/>
      <c r="D41" s="31" t="s">
        <v>18</v>
      </c>
      <c r="E41" s="35">
        <f>E42</f>
        <v>10.850089587895679</v>
      </c>
      <c r="F41" s="35">
        <f>F42</f>
        <v>0</v>
      </c>
      <c r="G41" s="35">
        <f>G42</f>
        <v>0</v>
      </c>
      <c r="H41" s="35">
        <f t="shared" ref="H41:I41" si="14">H42</f>
        <v>0</v>
      </c>
      <c r="I41" s="35">
        <f t="shared" si="14"/>
        <v>0</v>
      </c>
    </row>
    <row r="42" spans="1:9" ht="25.5" x14ac:dyDescent="0.25">
      <c r="A42" s="146" t="s">
        <v>63</v>
      </c>
      <c r="B42" s="147"/>
      <c r="C42" s="148"/>
      <c r="D42" s="30" t="s">
        <v>22</v>
      </c>
      <c r="E42" s="35">
        <f>E43</f>
        <v>10.850089587895679</v>
      </c>
      <c r="F42" s="36">
        <v>0</v>
      </c>
      <c r="G42" s="35">
        <f>G43</f>
        <v>0</v>
      </c>
      <c r="H42" s="35">
        <f t="shared" ref="H42:I42" si="15">H43</f>
        <v>0</v>
      </c>
      <c r="I42" s="35">
        <f t="shared" si="15"/>
        <v>0</v>
      </c>
    </row>
    <row r="43" spans="1:9" ht="25.5" x14ac:dyDescent="0.25">
      <c r="A43" s="156" t="s">
        <v>75</v>
      </c>
      <c r="B43" s="156"/>
      <c r="C43" s="156"/>
      <c r="D43" s="31" t="s">
        <v>76</v>
      </c>
      <c r="E43" s="35">
        <f>81.75/J4</f>
        <v>10.850089587895679</v>
      </c>
      <c r="F43" s="36">
        <v>0</v>
      </c>
      <c r="G43" s="35">
        <v>0</v>
      </c>
      <c r="H43" s="35">
        <v>0</v>
      </c>
      <c r="I43" s="35">
        <v>0</v>
      </c>
    </row>
    <row r="44" spans="1:9" x14ac:dyDescent="0.25">
      <c r="A44" s="165" t="s">
        <v>71</v>
      </c>
      <c r="B44" s="165"/>
      <c r="C44" s="165"/>
      <c r="D44" s="31" t="s">
        <v>72</v>
      </c>
      <c r="E44" s="35">
        <f>E45+E47</f>
        <v>66361.404207313026</v>
      </c>
      <c r="F44" s="35">
        <f>F45+F47</f>
        <v>91844.183422921225</v>
      </c>
      <c r="G44" s="35">
        <f>G45+G47</f>
        <v>66361</v>
      </c>
      <c r="H44" s="35">
        <f t="shared" ref="H44:I44" si="16">H45+H47</f>
        <v>66361</v>
      </c>
      <c r="I44" s="35">
        <f t="shared" si="16"/>
        <v>66361</v>
      </c>
    </row>
    <row r="45" spans="1:9" x14ac:dyDescent="0.25">
      <c r="A45" s="146" t="s">
        <v>57</v>
      </c>
      <c r="B45" s="147"/>
      <c r="C45" s="148"/>
      <c r="D45" s="30" t="s">
        <v>20</v>
      </c>
      <c r="E45" s="35">
        <f>E46</f>
        <v>0</v>
      </c>
      <c r="F45" s="35">
        <f>F46</f>
        <v>4247.1298692680339</v>
      </c>
      <c r="G45" s="35">
        <f>G46</f>
        <v>0</v>
      </c>
      <c r="H45" s="35">
        <f t="shared" ref="H45:I45" si="17">H46</f>
        <v>0</v>
      </c>
      <c r="I45" s="35">
        <f t="shared" si="17"/>
        <v>0</v>
      </c>
    </row>
    <row r="46" spans="1:9" x14ac:dyDescent="0.25">
      <c r="A46" s="125" t="s">
        <v>59</v>
      </c>
      <c r="B46" s="126"/>
      <c r="C46" s="127"/>
      <c r="D46" s="30" t="s">
        <v>31</v>
      </c>
      <c r="E46" s="35">
        <v>0</v>
      </c>
      <c r="F46" s="36">
        <f>32000/J4</f>
        <v>4247.1298692680339</v>
      </c>
      <c r="G46" s="35">
        <v>0</v>
      </c>
      <c r="H46" s="35">
        <v>0</v>
      </c>
      <c r="I46" s="35">
        <v>0</v>
      </c>
    </row>
    <row r="47" spans="1:9" ht="25.5" x14ac:dyDescent="0.25">
      <c r="A47" s="146" t="s">
        <v>63</v>
      </c>
      <c r="B47" s="147"/>
      <c r="C47" s="148"/>
      <c r="D47" s="30" t="s">
        <v>22</v>
      </c>
      <c r="E47" s="35">
        <f>E48+E49</f>
        <v>66361.404207313026</v>
      </c>
      <c r="F47" s="35">
        <f>F48+F49</f>
        <v>87597.053553653197</v>
      </c>
      <c r="G47" s="35">
        <f>SUM(G48:G49)</f>
        <v>66361</v>
      </c>
      <c r="H47" s="35">
        <f>SUM(H48:H49)</f>
        <v>66361</v>
      </c>
      <c r="I47" s="35">
        <f>SUM(I48:I49)</f>
        <v>66361</v>
      </c>
    </row>
    <row r="48" spans="1:9" ht="25.5" x14ac:dyDescent="0.25">
      <c r="A48" s="161" t="s">
        <v>62</v>
      </c>
      <c r="B48" s="162"/>
      <c r="C48" s="163"/>
      <c r="D48" s="31" t="s">
        <v>64</v>
      </c>
      <c r="E48" s="35">
        <v>0</v>
      </c>
      <c r="F48" s="36">
        <f>10000/J4</f>
        <v>1327.2280841462605</v>
      </c>
      <c r="G48" s="35">
        <v>0</v>
      </c>
      <c r="H48" s="35">
        <v>0</v>
      </c>
      <c r="I48" s="35">
        <v>0</v>
      </c>
    </row>
    <row r="49" spans="1:9" ht="25.5" x14ac:dyDescent="0.25">
      <c r="A49" s="156" t="s">
        <v>75</v>
      </c>
      <c r="B49" s="156"/>
      <c r="C49" s="156"/>
      <c r="D49" s="31" t="s">
        <v>76</v>
      </c>
      <c r="E49" s="35">
        <f>500000/J4</f>
        <v>66361.404207313026</v>
      </c>
      <c r="F49" s="36">
        <f>650000/J4</f>
        <v>86269.825469506934</v>
      </c>
      <c r="G49" s="35">
        <v>66361</v>
      </c>
      <c r="H49" s="35">
        <v>66361</v>
      </c>
      <c r="I49" s="35">
        <v>66361</v>
      </c>
    </row>
    <row r="50" spans="1:9" s="48" customFormat="1" x14ac:dyDescent="0.25">
      <c r="A50" s="164" t="s">
        <v>123</v>
      </c>
      <c r="B50" s="164"/>
      <c r="C50" s="164"/>
      <c r="D50" s="33" t="s">
        <v>124</v>
      </c>
      <c r="E50" s="35">
        <f>E51</f>
        <v>5094.0633087796141</v>
      </c>
      <c r="F50" s="35">
        <f t="shared" ref="F50:I50" si="18">F51</f>
        <v>0</v>
      </c>
      <c r="G50" s="35">
        <f t="shared" si="18"/>
        <v>0</v>
      </c>
      <c r="H50" s="35">
        <f t="shared" si="18"/>
        <v>0</v>
      </c>
      <c r="I50" s="35">
        <f t="shared" si="18"/>
        <v>0</v>
      </c>
    </row>
    <row r="51" spans="1:9" s="48" customFormat="1" x14ac:dyDescent="0.25">
      <c r="A51" s="165" t="s">
        <v>55</v>
      </c>
      <c r="B51" s="165"/>
      <c r="C51" s="165"/>
      <c r="D51" s="31" t="s">
        <v>18</v>
      </c>
      <c r="E51" s="35">
        <f>E52</f>
        <v>5094.0633087796141</v>
      </c>
      <c r="F51" s="35">
        <f>F52</f>
        <v>0</v>
      </c>
      <c r="G51" s="35">
        <f>G52</f>
        <v>0</v>
      </c>
      <c r="H51" s="35">
        <f t="shared" ref="H51:I52" si="19">H52</f>
        <v>0</v>
      </c>
      <c r="I51" s="35">
        <f t="shared" si="19"/>
        <v>0</v>
      </c>
    </row>
    <row r="52" spans="1:9" s="48" customFormat="1" ht="25.5" x14ac:dyDescent="0.25">
      <c r="A52" s="146" t="s">
        <v>63</v>
      </c>
      <c r="B52" s="147"/>
      <c r="C52" s="148"/>
      <c r="D52" s="30" t="s">
        <v>22</v>
      </c>
      <c r="E52" s="35">
        <f>E53</f>
        <v>5094.0633087796141</v>
      </c>
      <c r="F52" s="36">
        <v>0</v>
      </c>
      <c r="G52" s="35">
        <f>G53</f>
        <v>0</v>
      </c>
      <c r="H52" s="35">
        <f t="shared" si="19"/>
        <v>0</v>
      </c>
      <c r="I52" s="35">
        <f t="shared" si="19"/>
        <v>0</v>
      </c>
    </row>
    <row r="53" spans="1:9" s="48" customFormat="1" ht="25.5" x14ac:dyDescent="0.25">
      <c r="A53" s="161" t="s">
        <v>62</v>
      </c>
      <c r="B53" s="162"/>
      <c r="C53" s="163"/>
      <c r="D53" s="31" t="s">
        <v>64</v>
      </c>
      <c r="E53" s="35">
        <f>38381.22/J4</f>
        <v>5094.0633087796141</v>
      </c>
      <c r="F53" s="36">
        <v>0</v>
      </c>
      <c r="G53" s="35">
        <v>0</v>
      </c>
      <c r="H53" s="35">
        <v>0</v>
      </c>
      <c r="I53" s="35">
        <v>0</v>
      </c>
    </row>
    <row r="54" spans="1:9" x14ac:dyDescent="0.25">
      <c r="A54" s="164" t="s">
        <v>77</v>
      </c>
      <c r="B54" s="164"/>
      <c r="C54" s="164"/>
      <c r="D54" s="32" t="s">
        <v>78</v>
      </c>
      <c r="E54" s="35">
        <f>E55+E58+E63+E66</f>
        <v>51239.774371225692</v>
      </c>
      <c r="F54" s="35">
        <f>F55+F58+F63+F66</f>
        <v>42205.853075851082</v>
      </c>
      <c r="G54" s="35">
        <f>G55+G58+G63+G66</f>
        <v>41007</v>
      </c>
      <c r="H54" s="35">
        <f t="shared" ref="H54:I54" si="20">H55+H58+H63+H66</f>
        <v>29684</v>
      </c>
      <c r="I54" s="35">
        <f t="shared" si="20"/>
        <v>29684</v>
      </c>
    </row>
    <row r="55" spans="1:9" x14ac:dyDescent="0.25">
      <c r="A55" s="149" t="s">
        <v>55</v>
      </c>
      <c r="B55" s="150"/>
      <c r="C55" s="151"/>
      <c r="D55" s="30" t="s">
        <v>18</v>
      </c>
      <c r="E55" s="35">
        <f t="shared" ref="E55:G56" si="21">E56</f>
        <v>22554.864954542438</v>
      </c>
      <c r="F55" s="35">
        <f t="shared" si="21"/>
        <v>6105.2491870727981</v>
      </c>
      <c r="G55" s="35">
        <f t="shared" si="21"/>
        <v>16188</v>
      </c>
      <c r="H55" s="35">
        <f t="shared" ref="H55:I56" si="22">H56</f>
        <v>4866</v>
      </c>
      <c r="I55" s="35">
        <f t="shared" si="22"/>
        <v>4866</v>
      </c>
    </row>
    <row r="56" spans="1:9" x14ac:dyDescent="0.25">
      <c r="A56" s="146" t="s">
        <v>57</v>
      </c>
      <c r="B56" s="147"/>
      <c r="C56" s="148"/>
      <c r="D56" s="30" t="s">
        <v>20</v>
      </c>
      <c r="E56" s="35">
        <f t="shared" si="21"/>
        <v>22554.864954542438</v>
      </c>
      <c r="F56" s="35">
        <f t="shared" si="21"/>
        <v>6105.2491870727981</v>
      </c>
      <c r="G56" s="35">
        <f t="shared" si="21"/>
        <v>16188</v>
      </c>
      <c r="H56" s="35">
        <f t="shared" si="22"/>
        <v>4866</v>
      </c>
      <c r="I56" s="35">
        <f t="shared" si="22"/>
        <v>4866</v>
      </c>
    </row>
    <row r="57" spans="1:9" x14ac:dyDescent="0.25">
      <c r="A57" s="125" t="s">
        <v>59</v>
      </c>
      <c r="B57" s="126"/>
      <c r="C57" s="127"/>
      <c r="D57" s="30" t="s">
        <v>31</v>
      </c>
      <c r="E57" s="35">
        <f>169939.63/J4</f>
        <v>22554.864954542438</v>
      </c>
      <c r="F57" s="36">
        <f>46000/J4</f>
        <v>6105.2491870727981</v>
      </c>
      <c r="G57" s="35">
        <v>16188</v>
      </c>
      <c r="H57" s="35">
        <v>4866</v>
      </c>
      <c r="I57" s="35">
        <v>4866</v>
      </c>
    </row>
    <row r="58" spans="1:9" x14ac:dyDescent="0.25">
      <c r="A58" s="168" t="s">
        <v>71</v>
      </c>
      <c r="B58" s="169"/>
      <c r="C58" s="170"/>
      <c r="D58" s="29" t="s">
        <v>72</v>
      </c>
      <c r="E58" s="35">
        <f>E59+E61</f>
        <v>11546.884332072466</v>
      </c>
      <c r="F58" s="35">
        <f>F59+F61</f>
        <v>19244.807220120776</v>
      </c>
      <c r="G58" s="35">
        <f>G59</f>
        <v>13272</v>
      </c>
      <c r="H58" s="35">
        <f t="shared" ref="H58:I59" si="23">H59</f>
        <v>13272</v>
      </c>
      <c r="I58" s="35">
        <f t="shared" si="23"/>
        <v>13272</v>
      </c>
    </row>
    <row r="59" spans="1:9" x14ac:dyDescent="0.25">
      <c r="A59" s="146" t="s">
        <v>57</v>
      </c>
      <c r="B59" s="147"/>
      <c r="C59" s="148"/>
      <c r="D59" s="30" t="s">
        <v>20</v>
      </c>
      <c r="E59" s="35">
        <f>E60</f>
        <v>11546.884332072466</v>
      </c>
      <c r="F59" s="35">
        <f>F60</f>
        <v>17253.965093901385</v>
      </c>
      <c r="G59" s="35">
        <f>G60</f>
        <v>13272</v>
      </c>
      <c r="H59" s="35">
        <f t="shared" si="23"/>
        <v>13272</v>
      </c>
      <c r="I59" s="35">
        <f t="shared" si="23"/>
        <v>13272</v>
      </c>
    </row>
    <row r="60" spans="1:9" x14ac:dyDescent="0.25">
      <c r="A60" s="125" t="s">
        <v>59</v>
      </c>
      <c r="B60" s="126"/>
      <c r="C60" s="127"/>
      <c r="D60" s="30" t="s">
        <v>31</v>
      </c>
      <c r="E60" s="35">
        <f>87000/J4</f>
        <v>11546.884332072466</v>
      </c>
      <c r="F60" s="36">
        <f>130000/J4</f>
        <v>17253.965093901385</v>
      </c>
      <c r="G60" s="35">
        <v>13272</v>
      </c>
      <c r="H60" s="35">
        <v>13272</v>
      </c>
      <c r="I60" s="35">
        <v>13272</v>
      </c>
    </row>
    <row r="61" spans="1:9" ht="25.5" x14ac:dyDescent="0.25">
      <c r="A61" s="146" t="s">
        <v>63</v>
      </c>
      <c r="B61" s="147"/>
      <c r="C61" s="148"/>
      <c r="D61" s="30" t="s">
        <v>22</v>
      </c>
      <c r="E61" s="35">
        <f>E62</f>
        <v>0</v>
      </c>
      <c r="F61" s="35">
        <f>F62</f>
        <v>1990.8421262193906</v>
      </c>
      <c r="G61" s="35">
        <f>G62</f>
        <v>0</v>
      </c>
      <c r="H61" s="35">
        <f t="shared" ref="H61:I61" si="24">H62</f>
        <v>0</v>
      </c>
      <c r="I61" s="35">
        <f t="shared" si="24"/>
        <v>0</v>
      </c>
    </row>
    <row r="62" spans="1:9" ht="25.5" x14ac:dyDescent="0.25">
      <c r="A62" s="161" t="s">
        <v>62</v>
      </c>
      <c r="B62" s="162"/>
      <c r="C62" s="163"/>
      <c r="D62" s="29" t="s">
        <v>64</v>
      </c>
      <c r="E62" s="35">
        <v>0</v>
      </c>
      <c r="F62" s="36">
        <f>15000/J4</f>
        <v>1990.8421262193906</v>
      </c>
      <c r="G62" s="35"/>
      <c r="H62" s="35"/>
      <c r="I62" s="35"/>
    </row>
    <row r="63" spans="1:9" x14ac:dyDescent="0.25">
      <c r="A63" s="149" t="s">
        <v>79</v>
      </c>
      <c r="B63" s="150"/>
      <c r="C63" s="151"/>
      <c r="D63" s="30" t="s">
        <v>41</v>
      </c>
      <c r="E63" s="35">
        <f>E64</f>
        <v>1595.3560289335721</v>
      </c>
      <c r="F63" s="35">
        <f>F64</f>
        <v>1327.2280841462605</v>
      </c>
      <c r="G63" s="35">
        <f>G64</f>
        <v>2654</v>
      </c>
      <c r="H63" s="35">
        <f t="shared" ref="G63:I64" si="25">H64</f>
        <v>2654</v>
      </c>
      <c r="I63" s="35">
        <f t="shared" si="25"/>
        <v>2654</v>
      </c>
    </row>
    <row r="64" spans="1:9" x14ac:dyDescent="0.25">
      <c r="A64" s="146" t="s">
        <v>57</v>
      </c>
      <c r="B64" s="147"/>
      <c r="C64" s="148"/>
      <c r="D64" s="30" t="s">
        <v>20</v>
      </c>
      <c r="E64" s="35">
        <f>E65</f>
        <v>1595.3560289335721</v>
      </c>
      <c r="F64" s="35">
        <f>F65</f>
        <v>1327.2280841462605</v>
      </c>
      <c r="G64" s="35">
        <f t="shared" si="25"/>
        <v>2654</v>
      </c>
      <c r="H64" s="35">
        <f t="shared" si="25"/>
        <v>2654</v>
      </c>
      <c r="I64" s="35">
        <f t="shared" si="25"/>
        <v>2654</v>
      </c>
    </row>
    <row r="65" spans="1:9" x14ac:dyDescent="0.25">
      <c r="A65" s="125" t="s">
        <v>59</v>
      </c>
      <c r="B65" s="126"/>
      <c r="C65" s="127"/>
      <c r="D65" s="30" t="s">
        <v>31</v>
      </c>
      <c r="E65" s="35">
        <f>12020.21/J4</f>
        <v>1595.3560289335721</v>
      </c>
      <c r="F65" s="36">
        <f>10000/J4</f>
        <v>1327.2280841462605</v>
      </c>
      <c r="G65" s="35">
        <v>2654</v>
      </c>
      <c r="H65" s="35">
        <v>2654</v>
      </c>
      <c r="I65" s="35">
        <v>2654</v>
      </c>
    </row>
    <row r="66" spans="1:9" s="48" customFormat="1" ht="15" customHeight="1" x14ac:dyDescent="0.25">
      <c r="A66" s="149" t="s">
        <v>80</v>
      </c>
      <c r="B66" s="150"/>
      <c r="C66" s="151"/>
      <c r="D66" s="30" t="s">
        <v>33</v>
      </c>
      <c r="E66" s="35">
        <f>E67+E69</f>
        <v>15542.669055677217</v>
      </c>
      <c r="F66" s="35">
        <f>F67+F69</f>
        <v>15528.568584511248</v>
      </c>
      <c r="G66" s="35">
        <f>G67+G69</f>
        <v>8893</v>
      </c>
      <c r="H66" s="35">
        <f>H67+H69</f>
        <v>8892</v>
      </c>
      <c r="I66" s="35">
        <f>I67+I69</f>
        <v>8892</v>
      </c>
    </row>
    <row r="67" spans="1:9" x14ac:dyDescent="0.25">
      <c r="A67" s="146" t="s">
        <v>57</v>
      </c>
      <c r="B67" s="147"/>
      <c r="C67" s="148"/>
      <c r="D67" s="30" t="s">
        <v>20</v>
      </c>
      <c r="E67" s="35">
        <f>E68</f>
        <v>14839.901785121772</v>
      </c>
      <c r="F67" s="35">
        <f>F68</f>
        <v>15528.568584511248</v>
      </c>
      <c r="G67" s="35">
        <f>G68</f>
        <v>8893</v>
      </c>
      <c r="H67" s="35">
        <f>H68</f>
        <v>8892</v>
      </c>
      <c r="I67" s="35">
        <f>I68</f>
        <v>8892</v>
      </c>
    </row>
    <row r="68" spans="1:9" x14ac:dyDescent="0.25">
      <c r="A68" s="125" t="s">
        <v>59</v>
      </c>
      <c r="B68" s="126"/>
      <c r="C68" s="127"/>
      <c r="D68" s="30" t="s">
        <v>31</v>
      </c>
      <c r="E68" s="35">
        <f>111811.24/J4</f>
        <v>14839.901785121772</v>
      </c>
      <c r="F68" s="36">
        <f>117000/J4</f>
        <v>15528.568584511248</v>
      </c>
      <c r="G68" s="35">
        <v>8893</v>
      </c>
      <c r="H68" s="35">
        <v>8892</v>
      </c>
      <c r="I68" s="35">
        <v>8892</v>
      </c>
    </row>
    <row r="69" spans="1:9" ht="25.5" x14ac:dyDescent="0.25">
      <c r="A69" s="146" t="s">
        <v>63</v>
      </c>
      <c r="B69" s="147"/>
      <c r="C69" s="148"/>
      <c r="D69" s="30" t="s">
        <v>22</v>
      </c>
      <c r="E69" s="35">
        <f>E70</f>
        <v>702.76727055544495</v>
      </c>
      <c r="F69" s="35">
        <f>F70</f>
        <v>0</v>
      </c>
      <c r="G69" s="35">
        <f>G70</f>
        <v>0</v>
      </c>
      <c r="H69" s="35">
        <f t="shared" ref="H69:I69" si="26">H70</f>
        <v>0</v>
      </c>
      <c r="I69" s="35">
        <f t="shared" si="26"/>
        <v>0</v>
      </c>
    </row>
    <row r="70" spans="1:9" ht="25.5" x14ac:dyDescent="0.25">
      <c r="A70" s="156" t="s">
        <v>62</v>
      </c>
      <c r="B70" s="156"/>
      <c r="C70" s="156"/>
      <c r="D70" s="31" t="s">
        <v>64</v>
      </c>
      <c r="E70" s="35">
        <f>5295/J4</f>
        <v>702.76727055544495</v>
      </c>
      <c r="F70" s="36">
        <v>0</v>
      </c>
      <c r="G70" s="35"/>
      <c r="H70" s="35"/>
      <c r="I70" s="35"/>
    </row>
    <row r="71" spans="1:9" x14ac:dyDescent="0.25">
      <c r="A71" s="164" t="s">
        <v>81</v>
      </c>
      <c r="B71" s="164"/>
      <c r="C71" s="164"/>
      <c r="D71" s="32" t="s">
        <v>82</v>
      </c>
      <c r="E71" s="35">
        <f>E72+E75+E78+E81</f>
        <v>24056.931448669453</v>
      </c>
      <c r="F71" s="35">
        <f>F72+F75+F78+F81</f>
        <v>14997.677350852744</v>
      </c>
      <c r="G71" s="35">
        <f>G72+G75+G78+G81</f>
        <v>18123</v>
      </c>
      <c r="H71" s="35">
        <f t="shared" ref="H71:I71" si="27">H72+H75+H78+H81</f>
        <v>15263</v>
      </c>
      <c r="I71" s="35">
        <f t="shared" si="27"/>
        <v>15263</v>
      </c>
    </row>
    <row r="72" spans="1:9" x14ac:dyDescent="0.25">
      <c r="A72" s="149" t="s">
        <v>55</v>
      </c>
      <c r="B72" s="150"/>
      <c r="C72" s="151"/>
      <c r="D72" s="30" t="s">
        <v>18</v>
      </c>
      <c r="E72" s="35">
        <f t="shared" ref="E72:G73" si="28">E73</f>
        <v>14156.727055544494</v>
      </c>
      <c r="F72" s="35">
        <f t="shared" si="28"/>
        <v>0</v>
      </c>
      <c r="G72" s="35">
        <f t="shared" si="28"/>
        <v>2861</v>
      </c>
      <c r="H72" s="35">
        <f t="shared" ref="H72:I72" si="29">H73</f>
        <v>0</v>
      </c>
      <c r="I72" s="35">
        <f t="shared" si="29"/>
        <v>0</v>
      </c>
    </row>
    <row r="73" spans="1:9" x14ac:dyDescent="0.25">
      <c r="A73" s="146" t="s">
        <v>57</v>
      </c>
      <c r="B73" s="147"/>
      <c r="C73" s="148"/>
      <c r="D73" s="30" t="s">
        <v>20</v>
      </c>
      <c r="E73" s="35">
        <f t="shared" si="28"/>
        <v>14156.727055544494</v>
      </c>
      <c r="F73" s="35">
        <f t="shared" si="28"/>
        <v>0</v>
      </c>
      <c r="G73" s="35">
        <f t="shared" si="28"/>
        <v>2861</v>
      </c>
      <c r="H73" s="35">
        <f t="shared" ref="H73:I73" si="30">H74</f>
        <v>0</v>
      </c>
      <c r="I73" s="35">
        <f t="shared" si="30"/>
        <v>0</v>
      </c>
    </row>
    <row r="74" spans="1:9" x14ac:dyDescent="0.25">
      <c r="A74" s="125" t="s">
        <v>59</v>
      </c>
      <c r="B74" s="126"/>
      <c r="C74" s="127"/>
      <c r="D74" s="30" t="s">
        <v>31</v>
      </c>
      <c r="E74" s="35">
        <f>106663.86/J4</f>
        <v>14156.727055544494</v>
      </c>
      <c r="F74" s="36">
        <v>0</v>
      </c>
      <c r="G74" s="35">
        <v>2861</v>
      </c>
      <c r="H74" s="35">
        <v>0</v>
      </c>
      <c r="I74" s="35">
        <v>0</v>
      </c>
    </row>
    <row r="75" spans="1:9" x14ac:dyDescent="0.25">
      <c r="A75" s="149" t="s">
        <v>83</v>
      </c>
      <c r="B75" s="150"/>
      <c r="C75" s="151"/>
      <c r="D75" s="30" t="s">
        <v>84</v>
      </c>
      <c r="E75" s="35">
        <f>E76</f>
        <v>2654.4561682925209</v>
      </c>
      <c r="F75" s="36">
        <f>20000/J4</f>
        <v>2654.4561682925209</v>
      </c>
      <c r="G75" s="35">
        <f>G76</f>
        <v>1990</v>
      </c>
      <c r="H75" s="35">
        <f t="shared" ref="H75:I75" si="31">H76</f>
        <v>1991</v>
      </c>
      <c r="I75" s="35">
        <f t="shared" si="31"/>
        <v>1991</v>
      </c>
    </row>
    <row r="76" spans="1:9" x14ac:dyDescent="0.25">
      <c r="A76" s="146" t="s">
        <v>57</v>
      </c>
      <c r="B76" s="147"/>
      <c r="C76" s="148"/>
      <c r="D76" s="30" t="s">
        <v>20</v>
      </c>
      <c r="E76" s="35">
        <f>E77</f>
        <v>2654.4561682925209</v>
      </c>
      <c r="F76" s="35">
        <f>F77</f>
        <v>2654.4561682925209</v>
      </c>
      <c r="G76" s="35">
        <f>G77</f>
        <v>1990</v>
      </c>
      <c r="H76" s="35">
        <f t="shared" ref="H76:I76" si="32">H77</f>
        <v>1991</v>
      </c>
      <c r="I76" s="35">
        <f t="shared" si="32"/>
        <v>1991</v>
      </c>
    </row>
    <row r="77" spans="1:9" x14ac:dyDescent="0.25">
      <c r="A77" s="125" t="s">
        <v>59</v>
      </c>
      <c r="B77" s="126"/>
      <c r="C77" s="127"/>
      <c r="D77" s="30" t="s">
        <v>31</v>
      </c>
      <c r="E77" s="35">
        <f>20000/J4</f>
        <v>2654.4561682925209</v>
      </c>
      <c r="F77" s="36">
        <f>20000/J4</f>
        <v>2654.4561682925209</v>
      </c>
      <c r="G77" s="35">
        <v>1990</v>
      </c>
      <c r="H77" s="35">
        <v>1991</v>
      </c>
      <c r="I77" s="35">
        <v>1991</v>
      </c>
    </row>
    <row r="78" spans="1:9" x14ac:dyDescent="0.25">
      <c r="A78" s="149" t="s">
        <v>85</v>
      </c>
      <c r="B78" s="150"/>
      <c r="C78" s="151"/>
      <c r="D78" s="30" t="s">
        <v>40</v>
      </c>
      <c r="E78" s="35">
        <f t="shared" ref="E78:G79" si="33">E79</f>
        <v>6636.0183157475612</v>
      </c>
      <c r="F78" s="35">
        <f t="shared" si="33"/>
        <v>11945.052757316344</v>
      </c>
      <c r="G78" s="35">
        <f t="shared" si="33"/>
        <v>13272</v>
      </c>
      <c r="H78" s="35">
        <f t="shared" ref="H78:I78" si="34">H79</f>
        <v>13272</v>
      </c>
      <c r="I78" s="35">
        <f t="shared" si="34"/>
        <v>13272</v>
      </c>
    </row>
    <row r="79" spans="1:9" x14ac:dyDescent="0.25">
      <c r="A79" s="146" t="s">
        <v>57</v>
      </c>
      <c r="B79" s="147"/>
      <c r="C79" s="148"/>
      <c r="D79" s="30" t="s">
        <v>20</v>
      </c>
      <c r="E79" s="35">
        <f t="shared" si="33"/>
        <v>6636.0183157475612</v>
      </c>
      <c r="F79" s="35">
        <f t="shared" si="33"/>
        <v>11945.052757316344</v>
      </c>
      <c r="G79" s="35">
        <f t="shared" si="33"/>
        <v>13272</v>
      </c>
      <c r="H79" s="35">
        <f t="shared" ref="H79:I79" si="35">H80</f>
        <v>13272</v>
      </c>
      <c r="I79" s="35">
        <f t="shared" si="35"/>
        <v>13272</v>
      </c>
    </row>
    <row r="80" spans="1:9" x14ac:dyDescent="0.25">
      <c r="A80" s="125" t="s">
        <v>59</v>
      </c>
      <c r="B80" s="126"/>
      <c r="C80" s="127"/>
      <c r="D80" s="30" t="s">
        <v>31</v>
      </c>
      <c r="E80" s="35">
        <f>49999.08/J4</f>
        <v>6636.0183157475612</v>
      </c>
      <c r="F80" s="36">
        <f>90000/J4</f>
        <v>11945.052757316344</v>
      </c>
      <c r="G80" s="35">
        <v>13272</v>
      </c>
      <c r="H80" s="35">
        <v>13272</v>
      </c>
      <c r="I80" s="35">
        <v>13272</v>
      </c>
    </row>
    <row r="81" spans="1:9" x14ac:dyDescent="0.25">
      <c r="A81" s="149" t="s">
        <v>80</v>
      </c>
      <c r="B81" s="150"/>
      <c r="C81" s="151"/>
      <c r="D81" s="30" t="s">
        <v>33</v>
      </c>
      <c r="E81" s="35">
        <f>E82</f>
        <v>609.72990908487623</v>
      </c>
      <c r="F81" s="35">
        <f>F82</f>
        <v>398.16842524387812</v>
      </c>
      <c r="G81" s="35">
        <f>G82</f>
        <v>0</v>
      </c>
      <c r="H81" s="35">
        <f>H82</f>
        <v>0</v>
      </c>
      <c r="I81" s="35">
        <f>I82</f>
        <v>0</v>
      </c>
    </row>
    <row r="82" spans="1:9" x14ac:dyDescent="0.25">
      <c r="A82" s="146" t="s">
        <v>57</v>
      </c>
      <c r="B82" s="147"/>
      <c r="C82" s="148"/>
      <c r="D82" s="30" t="s">
        <v>20</v>
      </c>
      <c r="E82" s="35">
        <f>E83</f>
        <v>609.72990908487623</v>
      </c>
      <c r="F82" s="35">
        <f>F83</f>
        <v>398.16842524387812</v>
      </c>
      <c r="G82" s="35">
        <f>G83</f>
        <v>0</v>
      </c>
      <c r="H82" s="35">
        <f t="shared" ref="H82:I82" si="36">H83</f>
        <v>0</v>
      </c>
      <c r="I82" s="35">
        <f t="shared" si="36"/>
        <v>0</v>
      </c>
    </row>
    <row r="83" spans="1:9" x14ac:dyDescent="0.25">
      <c r="A83" s="125" t="s">
        <v>59</v>
      </c>
      <c r="B83" s="126"/>
      <c r="C83" s="127"/>
      <c r="D83" s="30" t="s">
        <v>31</v>
      </c>
      <c r="E83" s="35">
        <f>4594.01/J4</f>
        <v>609.72990908487623</v>
      </c>
      <c r="F83" s="36">
        <f>3000/J4</f>
        <v>398.16842524387812</v>
      </c>
      <c r="G83" s="35">
        <v>0</v>
      </c>
      <c r="H83" s="35">
        <v>0</v>
      </c>
      <c r="I83" s="35">
        <v>0</v>
      </c>
    </row>
    <row r="84" spans="1:9" x14ac:dyDescent="0.25">
      <c r="A84" s="166" t="s">
        <v>86</v>
      </c>
      <c r="B84" s="167"/>
      <c r="C84" s="167"/>
      <c r="D84" s="28" t="s">
        <v>87</v>
      </c>
      <c r="E84" s="35">
        <f>E88+E91</f>
        <v>13552.657774238502</v>
      </c>
      <c r="F84" s="35">
        <f>F88+F91</f>
        <v>2654.4561682925209</v>
      </c>
      <c r="G84" s="35">
        <f>G85+G88+G91</f>
        <v>5441</v>
      </c>
      <c r="H84" s="35">
        <f>H88+H91</f>
        <v>3185</v>
      </c>
      <c r="I84" s="35">
        <f>I88+I91</f>
        <v>3185</v>
      </c>
    </row>
    <row r="85" spans="1:9" s="48" customFormat="1" x14ac:dyDescent="0.25">
      <c r="A85" s="149" t="s">
        <v>55</v>
      </c>
      <c r="B85" s="150"/>
      <c r="C85" s="151"/>
      <c r="D85" s="30" t="s">
        <v>18</v>
      </c>
      <c r="E85" s="35">
        <v>0</v>
      </c>
      <c r="F85" s="35">
        <f t="shared" ref="F85:I86" si="37">F86</f>
        <v>0</v>
      </c>
      <c r="G85" s="35">
        <f t="shared" si="37"/>
        <v>2256</v>
      </c>
      <c r="H85" s="35">
        <f t="shared" si="37"/>
        <v>0</v>
      </c>
      <c r="I85" s="35">
        <f t="shared" si="37"/>
        <v>0</v>
      </c>
    </row>
    <row r="86" spans="1:9" s="48" customFormat="1" x14ac:dyDescent="0.25">
      <c r="A86" s="146" t="s">
        <v>57</v>
      </c>
      <c r="B86" s="147"/>
      <c r="C86" s="148"/>
      <c r="D86" s="30" t="s">
        <v>20</v>
      </c>
      <c r="E86" s="35">
        <v>0</v>
      </c>
      <c r="F86" s="35">
        <f t="shared" si="37"/>
        <v>0</v>
      </c>
      <c r="G86" s="35">
        <f t="shared" si="37"/>
        <v>2256</v>
      </c>
      <c r="H86" s="35">
        <f t="shared" si="37"/>
        <v>0</v>
      </c>
      <c r="I86" s="35">
        <f t="shared" si="37"/>
        <v>0</v>
      </c>
    </row>
    <row r="87" spans="1:9" s="48" customFormat="1" x14ac:dyDescent="0.25">
      <c r="A87" s="125" t="s">
        <v>59</v>
      </c>
      <c r="B87" s="126"/>
      <c r="C87" s="127"/>
      <c r="D87" s="30" t="s">
        <v>31</v>
      </c>
      <c r="E87" s="35">
        <v>0</v>
      </c>
      <c r="F87" s="36">
        <v>0</v>
      </c>
      <c r="G87" s="35">
        <v>2256</v>
      </c>
      <c r="H87" s="35">
        <v>0</v>
      </c>
      <c r="I87" s="35">
        <v>0</v>
      </c>
    </row>
    <row r="88" spans="1:9" x14ac:dyDescent="0.25">
      <c r="A88" s="149" t="s">
        <v>71</v>
      </c>
      <c r="B88" s="150"/>
      <c r="C88" s="151"/>
      <c r="D88" s="30" t="s">
        <v>72</v>
      </c>
      <c r="E88" s="35">
        <f t="shared" ref="E88:G89" si="38">E89</f>
        <v>13552.657774238502</v>
      </c>
      <c r="F88" s="35">
        <f t="shared" si="38"/>
        <v>2654.4561682925209</v>
      </c>
      <c r="G88" s="35">
        <f t="shared" si="38"/>
        <v>0</v>
      </c>
      <c r="H88" s="35">
        <f t="shared" ref="H88:I88" si="39">H89</f>
        <v>0</v>
      </c>
      <c r="I88" s="35">
        <f t="shared" si="39"/>
        <v>0</v>
      </c>
    </row>
    <row r="89" spans="1:9" x14ac:dyDescent="0.25">
      <c r="A89" s="146" t="s">
        <v>57</v>
      </c>
      <c r="B89" s="147"/>
      <c r="C89" s="148"/>
      <c r="D89" s="30" t="s">
        <v>20</v>
      </c>
      <c r="E89" s="35">
        <f t="shared" si="38"/>
        <v>13552.657774238502</v>
      </c>
      <c r="F89" s="35">
        <f t="shared" si="38"/>
        <v>2654.4561682925209</v>
      </c>
      <c r="G89" s="35">
        <f t="shared" si="38"/>
        <v>0</v>
      </c>
      <c r="H89" s="35">
        <f t="shared" ref="H89:I89" si="40">H90</f>
        <v>0</v>
      </c>
      <c r="I89" s="35">
        <f t="shared" si="40"/>
        <v>0</v>
      </c>
    </row>
    <row r="90" spans="1:9" x14ac:dyDescent="0.25">
      <c r="A90" s="125" t="s">
        <v>59</v>
      </c>
      <c r="B90" s="126"/>
      <c r="C90" s="127"/>
      <c r="D90" s="30" t="s">
        <v>31</v>
      </c>
      <c r="E90" s="35">
        <f>102112.5/J4</f>
        <v>13552.657774238502</v>
      </c>
      <c r="F90" s="36">
        <f>20000/J4</f>
        <v>2654.4561682925209</v>
      </c>
      <c r="G90" s="35">
        <v>0</v>
      </c>
      <c r="H90" s="35"/>
      <c r="I90" s="35"/>
    </row>
    <row r="91" spans="1:9" x14ac:dyDescent="0.25">
      <c r="A91" s="149" t="s">
        <v>80</v>
      </c>
      <c r="B91" s="150"/>
      <c r="C91" s="151"/>
      <c r="D91" s="30" t="s">
        <v>33</v>
      </c>
      <c r="E91" s="35">
        <f>E92</f>
        <v>0</v>
      </c>
      <c r="F91" s="35">
        <f>F92</f>
        <v>0</v>
      </c>
      <c r="G91" s="35">
        <f t="shared" ref="G91:I92" si="41">G92</f>
        <v>3185</v>
      </c>
      <c r="H91" s="35">
        <f t="shared" si="41"/>
        <v>3185</v>
      </c>
      <c r="I91" s="35">
        <f t="shared" si="41"/>
        <v>3185</v>
      </c>
    </row>
    <row r="92" spans="1:9" x14ac:dyDescent="0.25">
      <c r="A92" s="146" t="s">
        <v>57</v>
      </c>
      <c r="B92" s="147"/>
      <c r="C92" s="148"/>
      <c r="D92" s="30" t="s">
        <v>20</v>
      </c>
      <c r="E92" s="35">
        <f>E93</f>
        <v>0</v>
      </c>
      <c r="F92" s="35">
        <f>F93</f>
        <v>0</v>
      </c>
      <c r="G92" s="35">
        <f t="shared" si="41"/>
        <v>3185</v>
      </c>
      <c r="H92" s="35">
        <f t="shared" si="41"/>
        <v>3185</v>
      </c>
      <c r="I92" s="35">
        <f t="shared" si="41"/>
        <v>3185</v>
      </c>
    </row>
    <row r="93" spans="1:9" x14ac:dyDescent="0.25">
      <c r="A93" s="125" t="s">
        <v>59</v>
      </c>
      <c r="B93" s="126"/>
      <c r="C93" s="127"/>
      <c r="D93" s="30" t="s">
        <v>31</v>
      </c>
      <c r="E93" s="35">
        <v>0</v>
      </c>
      <c r="F93" s="36">
        <v>0</v>
      </c>
      <c r="G93" s="35">
        <v>3185</v>
      </c>
      <c r="H93" s="35">
        <v>3185</v>
      </c>
      <c r="I93" s="35">
        <v>3185</v>
      </c>
    </row>
    <row r="94" spans="1:9" s="48" customFormat="1" x14ac:dyDescent="0.25">
      <c r="A94" s="164" t="s">
        <v>125</v>
      </c>
      <c r="B94" s="164"/>
      <c r="C94" s="164"/>
      <c r="D94" s="32" t="s">
        <v>126</v>
      </c>
      <c r="E94" s="35">
        <f>E95</f>
        <v>38509.729909084876</v>
      </c>
      <c r="F94" s="35">
        <f t="shared" ref="F94:I94" si="42">F95</f>
        <v>0</v>
      </c>
      <c r="G94" s="35">
        <f t="shared" si="42"/>
        <v>0</v>
      </c>
      <c r="H94" s="35">
        <f t="shared" si="42"/>
        <v>0</v>
      </c>
      <c r="I94" s="35">
        <f t="shared" si="42"/>
        <v>0</v>
      </c>
    </row>
    <row r="95" spans="1:9" s="48" customFormat="1" x14ac:dyDescent="0.25">
      <c r="A95" s="149" t="s">
        <v>55</v>
      </c>
      <c r="B95" s="150"/>
      <c r="C95" s="151"/>
      <c r="D95" s="30" t="s">
        <v>18</v>
      </c>
      <c r="E95" s="35">
        <f>E96</f>
        <v>38509.729909084876</v>
      </c>
      <c r="F95" s="35">
        <f t="shared" ref="F95:F96" si="43">F96</f>
        <v>0</v>
      </c>
      <c r="G95" s="35">
        <f t="shared" ref="G95:I96" si="44">G96</f>
        <v>0</v>
      </c>
      <c r="H95" s="35">
        <f t="shared" si="44"/>
        <v>0</v>
      </c>
      <c r="I95" s="35">
        <f t="shared" si="44"/>
        <v>0</v>
      </c>
    </row>
    <row r="96" spans="1:9" s="48" customFormat="1" x14ac:dyDescent="0.25">
      <c r="A96" s="146" t="s">
        <v>57</v>
      </c>
      <c r="B96" s="147"/>
      <c r="C96" s="148"/>
      <c r="D96" s="30" t="s">
        <v>20</v>
      </c>
      <c r="E96" s="35">
        <f>E97</f>
        <v>38509.729909084876</v>
      </c>
      <c r="F96" s="35">
        <f t="shared" si="43"/>
        <v>0</v>
      </c>
      <c r="G96" s="35">
        <f t="shared" si="44"/>
        <v>0</v>
      </c>
      <c r="H96" s="35">
        <f t="shared" si="44"/>
        <v>0</v>
      </c>
      <c r="I96" s="35">
        <f t="shared" si="44"/>
        <v>0</v>
      </c>
    </row>
    <row r="97" spans="1:9" s="48" customFormat="1" x14ac:dyDescent="0.25">
      <c r="A97" s="125" t="s">
        <v>59</v>
      </c>
      <c r="B97" s="126"/>
      <c r="C97" s="127"/>
      <c r="D97" s="30" t="s">
        <v>31</v>
      </c>
      <c r="E97" s="35">
        <f>290151.56/J4</f>
        <v>38509.729909084876</v>
      </c>
      <c r="F97" s="36">
        <v>0</v>
      </c>
      <c r="G97" s="35">
        <v>0</v>
      </c>
      <c r="H97" s="35">
        <v>0</v>
      </c>
      <c r="I97" s="35">
        <v>0</v>
      </c>
    </row>
  </sheetData>
  <mergeCells count="96">
    <mergeCell ref="A95:C95"/>
    <mergeCell ref="A96:C96"/>
    <mergeCell ref="A97:C97"/>
    <mergeCell ref="A50:C50"/>
    <mergeCell ref="A51:C51"/>
    <mergeCell ref="A52:C52"/>
    <mergeCell ref="A53:C53"/>
    <mergeCell ref="A94:C94"/>
    <mergeCell ref="A93:C93"/>
    <mergeCell ref="A57:C57"/>
    <mergeCell ref="A58:C58"/>
    <mergeCell ref="A59:C59"/>
    <mergeCell ref="A60:C60"/>
    <mergeCell ref="A61:C61"/>
    <mergeCell ref="A54:C54"/>
    <mergeCell ref="A55:C55"/>
    <mergeCell ref="A92:C92"/>
    <mergeCell ref="A76:C76"/>
    <mergeCell ref="A77:C77"/>
    <mergeCell ref="A67:C67"/>
    <mergeCell ref="A68:C68"/>
    <mergeCell ref="A69:C69"/>
    <mergeCell ref="A70:C70"/>
    <mergeCell ref="A71:C71"/>
    <mergeCell ref="A84:C84"/>
    <mergeCell ref="A78:C78"/>
    <mergeCell ref="A79:C79"/>
    <mergeCell ref="A80:C80"/>
    <mergeCell ref="A81:C81"/>
    <mergeCell ref="A75:C75"/>
    <mergeCell ref="A85:C85"/>
    <mergeCell ref="A86:C86"/>
    <mergeCell ref="A66:C66"/>
    <mergeCell ref="A38:C38"/>
    <mergeCell ref="A39:C39"/>
    <mergeCell ref="A90:C90"/>
    <mergeCell ref="A91:C91"/>
    <mergeCell ref="A62:C62"/>
    <mergeCell ref="A63:C63"/>
    <mergeCell ref="A64:C64"/>
    <mergeCell ref="A65:C65"/>
    <mergeCell ref="A74:C74"/>
    <mergeCell ref="A88:C88"/>
    <mergeCell ref="A89:C89"/>
    <mergeCell ref="A72:C72"/>
    <mergeCell ref="A73:C73"/>
    <mergeCell ref="A82:C82"/>
    <mergeCell ref="A83:C83"/>
    <mergeCell ref="A56:C56"/>
    <mergeCell ref="A48:C48"/>
    <mergeCell ref="A33:C33"/>
    <mergeCell ref="A40:C40"/>
    <mergeCell ref="A44:C44"/>
    <mergeCell ref="A45:C45"/>
    <mergeCell ref="A46:C46"/>
    <mergeCell ref="A43:C43"/>
    <mergeCell ref="A47:C47"/>
    <mergeCell ref="A49:C49"/>
    <mergeCell ref="A34:C34"/>
    <mergeCell ref="A35:C35"/>
    <mergeCell ref="A36:C36"/>
    <mergeCell ref="A37:C37"/>
    <mergeCell ref="A41:C41"/>
    <mergeCell ref="A42:C42"/>
    <mergeCell ref="A25:C25"/>
    <mergeCell ref="A29:C29"/>
    <mergeCell ref="A30:C30"/>
    <mergeCell ref="A31:C31"/>
    <mergeCell ref="A32:C32"/>
    <mergeCell ref="A26:C26"/>
    <mergeCell ref="A27:C27"/>
    <mergeCell ref="A28:C28"/>
    <mergeCell ref="A20:C20"/>
    <mergeCell ref="A21:C21"/>
    <mergeCell ref="A22:C22"/>
    <mergeCell ref="A14:C14"/>
    <mergeCell ref="A15:C15"/>
    <mergeCell ref="A16:C16"/>
    <mergeCell ref="A17:C17"/>
    <mergeCell ref="A18:C18"/>
    <mergeCell ref="A87:C87"/>
    <mergeCell ref="A1:I1"/>
    <mergeCell ref="A8:C8"/>
    <mergeCell ref="A9:C9"/>
    <mergeCell ref="A2:I2"/>
    <mergeCell ref="A4:C4"/>
    <mergeCell ref="A7:C7"/>
    <mergeCell ref="A5:C5"/>
    <mergeCell ref="A6:C6"/>
    <mergeCell ref="A24:C24"/>
    <mergeCell ref="A10:C10"/>
    <mergeCell ref="A11:C11"/>
    <mergeCell ref="A13:C13"/>
    <mergeCell ref="A12:C12"/>
    <mergeCell ref="A23:C23"/>
    <mergeCell ref="A19:C19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Marina</cp:lastModifiedBy>
  <cp:lastPrinted>2022-11-25T11:14:05Z</cp:lastPrinted>
  <dcterms:created xsi:type="dcterms:W3CDTF">2022-08-12T12:51:27Z</dcterms:created>
  <dcterms:modified xsi:type="dcterms:W3CDTF">2022-12-07T12:44:10Z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PRIMJER FP PRORAČUNSKOG KORISNIKA.xlsx</vt:lpwstr>
  </property>
</Properties>
</file>